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inholland-my.sharepoint.com/personal/682009_student_inholland_nl/Documents/"/>
    </mc:Choice>
  </mc:AlternateContent>
  <xr:revisionPtr revIDLastSave="0" documentId="8_{348D2DB8-814B-4D88-9FE9-025F2652CF81}" xr6:coauthVersionLast="47" xr6:coauthVersionMax="47" xr10:uidLastSave="{00000000-0000-0000-0000-000000000000}"/>
  <bookViews>
    <workbookView xWindow="0" yWindow="520" windowWidth="28800" windowHeight="16420" firstSheet="7" activeTab="1" xr2:uid="{00000000-000D-0000-FFFF-FFFF00000000}"/>
  </bookViews>
  <sheets>
    <sheet name="Keuze" sheetId="9" r:id="rId1"/>
    <sheet name="CBI-FBI Alleenstaand" sheetId="12" r:id="rId2"/>
    <sheet name="CBI-FBI Fiscale Partners" sheetId="6" r:id="rId3"/>
    <sheet name="CBI-FBI na aankoop nieuwe huis" sheetId="8" r:id="rId4"/>
    <sheet name="Box 1 FP" sheetId="7" r:id="rId5"/>
    <sheet name="Box 1 A" sheetId="13" r:id="rId6"/>
    <sheet name="Box 2" sheetId="4" r:id="rId7"/>
    <sheet name="Box 3" sheetId="3" r:id="rId8"/>
  </sheets>
  <externalReferences>
    <externalReference r:id="rId9"/>
  </externalReferences>
  <definedNames>
    <definedName name="box1Na">[1]Particulier!$C$9</definedName>
    <definedName name="box1Voor">[1]Particulier!$C$5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F12" i="12"/>
  <c r="C15" i="3"/>
  <c r="C9" i="3"/>
  <c r="C27" i="3"/>
  <c r="F25" i="3"/>
  <c r="F14" i="3"/>
  <c r="C14" i="3"/>
  <c r="F8" i="3"/>
  <c r="F7" i="3"/>
  <c r="C7" i="3"/>
  <c r="E38" i="3"/>
  <c r="C25" i="3"/>
  <c r="C8" i="3"/>
  <c r="B38" i="3"/>
  <c r="F9" i="3"/>
  <c r="F27" i="3"/>
  <c r="F13" i="3"/>
  <c r="F3" i="3"/>
  <c r="F31" i="6"/>
  <c r="E44" i="12"/>
  <c r="F42" i="12"/>
  <c r="E42" i="12"/>
  <c r="E44" i="6"/>
  <c r="F42" i="6"/>
  <c r="E42" i="6"/>
  <c r="M42" i="6"/>
  <c r="L42" i="6"/>
  <c r="L44" i="6" s="1"/>
  <c r="B5" i="4"/>
  <c r="E68" i="6"/>
  <c r="E68" i="12"/>
  <c r="E34" i="12"/>
  <c r="C23" i="13"/>
  <c r="B23" i="13"/>
  <c r="C42" i="13" s="1"/>
  <c r="A23" i="13"/>
  <c r="F15" i="3"/>
  <c r="E14" i="13"/>
  <c r="F11" i="13"/>
  <c r="E57" i="6"/>
  <c r="M33" i="6"/>
  <c r="F12" i="6"/>
  <c r="M31" i="6" s="1"/>
  <c r="F33" i="12"/>
  <c r="E57" i="12"/>
  <c r="D20" i="12"/>
  <c r="E20" i="12" s="1"/>
  <c r="F20" i="12" s="1"/>
  <c r="F23" i="12"/>
  <c r="F31" i="12"/>
  <c r="M23" i="6"/>
  <c r="F23" i="6"/>
  <c r="E34" i="6"/>
  <c r="L56" i="8"/>
  <c r="E56" i="8"/>
  <c r="P23" i="8"/>
  <c r="P22" i="8"/>
  <c r="L54" i="8"/>
  <c r="E54" i="8"/>
  <c r="P21" i="8"/>
  <c r="P20" i="8"/>
  <c r="O20" i="8"/>
  <c r="P19" i="8"/>
  <c r="O19" i="8"/>
  <c r="L60" i="8"/>
  <c r="L59" i="8"/>
  <c r="L58" i="8"/>
  <c r="L57" i="8"/>
  <c r="E60" i="8"/>
  <c r="E59" i="8"/>
  <c r="E58" i="8"/>
  <c r="E57" i="8"/>
  <c r="M62" i="8"/>
  <c r="F62" i="8"/>
  <c r="L41" i="8"/>
  <c r="E41" i="8"/>
  <c r="L28" i="8"/>
  <c r="E28" i="8"/>
  <c r="E18" i="8"/>
  <c r="E45" i="8" s="1"/>
  <c r="L16" i="8"/>
  <c r="L18" i="8" s="1"/>
  <c r="L45" i="8" s="1"/>
  <c r="E16" i="8"/>
  <c r="K5" i="8"/>
  <c r="L5" i="8" s="1"/>
  <c r="M5" i="8" s="1"/>
  <c r="D5" i="8"/>
  <c r="E5" i="8" s="1"/>
  <c r="F5" i="8" s="1"/>
  <c r="K20" i="6"/>
  <c r="L20" i="6" s="1"/>
  <c r="M20" i="6" s="1"/>
  <c r="D20" i="6"/>
  <c r="E20" i="6" s="1"/>
  <c r="F20" i="6" s="1"/>
  <c r="C61" i="7"/>
  <c r="B61" i="7"/>
  <c r="C80" i="7" s="1"/>
  <c r="A61" i="7"/>
  <c r="C32" i="7"/>
  <c r="B32" i="7"/>
  <c r="C51" i="7" s="1"/>
  <c r="A32" i="7"/>
  <c r="L34" i="6"/>
  <c r="C3" i="3"/>
  <c r="E23" i="7"/>
  <c r="E15" i="7"/>
  <c r="K12" i="7"/>
  <c r="K5" i="7"/>
  <c r="D23" i="13" l="1"/>
  <c r="E23" i="13" s="1"/>
  <c r="F23" i="13" s="1"/>
  <c r="E61" i="12"/>
  <c r="D4" i="13"/>
  <c r="C11" i="13"/>
  <c r="E17" i="13"/>
  <c r="E15" i="13"/>
  <c r="D34" i="13"/>
  <c r="D43" i="13"/>
  <c r="D3" i="13"/>
  <c r="E16" i="13"/>
  <c r="E18" i="13"/>
  <c r="D27" i="13"/>
  <c r="D35" i="13"/>
  <c r="D44" i="13"/>
  <c r="F34" i="12"/>
  <c r="C10" i="13"/>
  <c r="D28" i="13"/>
  <c r="D36" i="13"/>
  <c r="D29" i="13"/>
  <c r="D42" i="13"/>
  <c r="D45" i="13" s="1"/>
  <c r="E61" i="6"/>
  <c r="B24" i="13"/>
  <c r="M34" i="6"/>
  <c r="D82" i="7"/>
  <c r="F33" i="6"/>
  <c r="F34" i="6" s="1"/>
  <c r="C10" i="3"/>
  <c r="D72" i="7"/>
  <c r="D73" i="7"/>
  <c r="D66" i="7"/>
  <c r="D80" i="7"/>
  <c r="D83" i="7" s="1"/>
  <c r="D65" i="7"/>
  <c r="D74" i="7"/>
  <c r="F10" i="3"/>
  <c r="D67" i="7"/>
  <c r="D81" i="7"/>
  <c r="D32" i="7"/>
  <c r="E32" i="7" s="1"/>
  <c r="F32" i="7" s="1"/>
  <c r="B33" i="7"/>
  <c r="D10" i="7"/>
  <c r="F16" i="3"/>
  <c r="D61" i="7"/>
  <c r="E61" i="7" s="1"/>
  <c r="F61" i="7" s="1"/>
  <c r="B62" i="7"/>
  <c r="D51" i="7"/>
  <c r="D53" i="7"/>
  <c r="D52" i="7"/>
  <c r="D45" i="7"/>
  <c r="D38" i="7"/>
  <c r="D44" i="7"/>
  <c r="D37" i="7"/>
  <c r="D36" i="7"/>
  <c r="D43" i="7"/>
  <c r="D3" i="7"/>
  <c r="E17" i="7"/>
  <c r="E27" i="7"/>
  <c r="E26" i="7"/>
  <c r="E25" i="7"/>
  <c r="E24" i="7"/>
  <c r="E19" i="7"/>
  <c r="E18" i="7"/>
  <c r="E16" i="7"/>
  <c r="D4" i="7"/>
  <c r="H5" i="7"/>
  <c r="H4" i="7"/>
  <c r="H12" i="7"/>
  <c r="H11" i="7"/>
  <c r="D9" i="7"/>
  <c r="B6" i="4"/>
  <c r="F18" i="3" l="1"/>
  <c r="F20" i="3"/>
  <c r="F24" i="3" s="1"/>
  <c r="F26" i="3" s="1"/>
  <c r="F31" i="3" s="1"/>
  <c r="F21" i="3"/>
  <c r="F30" i="3" s="1"/>
  <c r="E63" i="12"/>
  <c r="D5" i="13"/>
  <c r="D37" i="13"/>
  <c r="D30" i="13"/>
  <c r="E64" i="12"/>
  <c r="E64" i="6"/>
  <c r="E63" i="6"/>
  <c r="F19" i="3"/>
  <c r="D75" i="7"/>
  <c r="D11" i="7"/>
  <c r="G61" i="7" s="1"/>
  <c r="L36" i="6" s="1"/>
  <c r="D68" i="7"/>
  <c r="L47" i="8"/>
  <c r="L48" i="8"/>
  <c r="E47" i="8"/>
  <c r="D46" i="7"/>
  <c r="E48" i="8"/>
  <c r="D39" i="7"/>
  <c r="D5" i="7"/>
  <c r="G32" i="7" s="1"/>
  <c r="D54" i="7"/>
  <c r="F34" i="3" l="1"/>
  <c r="F35" i="3" s="1"/>
  <c r="F38" i="3" s="1"/>
  <c r="G23" i="13"/>
  <c r="F40" i="3"/>
  <c r="E59" i="12" s="1"/>
  <c r="F57" i="12"/>
  <c r="E36" i="12"/>
  <c r="E36" i="6"/>
  <c r="L20" i="8"/>
  <c r="E20" i="8"/>
  <c r="C16" i="3"/>
  <c r="C20" i="3" s="1"/>
  <c r="C18" i="3" l="1"/>
  <c r="C21" i="3" s="1"/>
  <c r="M41" i="8"/>
  <c r="M45" i="8" s="1"/>
  <c r="C19" i="3"/>
  <c r="C24" i="3" l="1"/>
  <c r="C26" i="3" s="1"/>
  <c r="C31" i="3" s="1"/>
  <c r="C30" i="3"/>
  <c r="C34" i="3" s="1"/>
  <c r="C35" i="3" s="1"/>
  <c r="C38" i="3" s="1"/>
  <c r="L43" i="8"/>
  <c r="L46" i="8" s="1"/>
  <c r="L49" i="8" s="1"/>
  <c r="L64" i="8" s="1"/>
  <c r="C40" i="3" l="1"/>
  <c r="E59" i="6" s="1"/>
  <c r="E62" i="6" s="1"/>
  <c r="F57" i="6"/>
  <c r="F61" i="6" s="1"/>
  <c r="F61" i="12"/>
  <c r="F41" i="8"/>
  <c r="F45" i="8" s="1"/>
  <c r="E62" i="12" l="1"/>
  <c r="E66" i="12" s="1"/>
  <c r="E69" i="12" s="1"/>
  <c r="E43" i="8"/>
  <c r="E46" i="8" s="1"/>
  <c r="E49" i="8" s="1"/>
  <c r="E64" i="8" s="1"/>
  <c r="E66" i="6"/>
  <c r="E69" i="6" s="1"/>
</calcChain>
</file>

<file path=xl/sharedStrings.xml><?xml version="1.0" encoding="utf-8"?>
<sst xmlns="http://schemas.openxmlformats.org/spreadsheetml/2006/main" count="593" uniqueCount="160">
  <si>
    <t>Calculator:</t>
  </si>
  <si>
    <t>Alleenstaand</t>
  </si>
  <si>
    <t>Fiscale partners</t>
  </si>
  <si>
    <t>Vaste Lasten</t>
  </si>
  <si>
    <t>Hypotheekrente</t>
  </si>
  <si>
    <t>Aflossing hypotheek</t>
  </si>
  <si>
    <t>Premie overlijdensrisicoverzekering</t>
  </si>
  <si>
    <t>Gemeentelijke heffingen</t>
  </si>
  <si>
    <t>Verzekeringen</t>
  </si>
  <si>
    <t>Onderhoud huis</t>
  </si>
  <si>
    <t>Restaurantbezoek en overige uitjes</t>
  </si>
  <si>
    <t>Vakanties</t>
  </si>
  <si>
    <t>Overige vaste uitgaven</t>
  </si>
  <si>
    <t>WOZ-waarde</t>
  </si>
  <si>
    <t>Eigen Woning Forfait</t>
  </si>
  <si>
    <t>Consumptief besteedbaar Inkomen (CBI)</t>
  </si>
  <si>
    <t>Fiscaal Inkomen (FBI)</t>
  </si>
  <si>
    <t>Naam partner 1:</t>
  </si>
  <si>
    <t>Francis</t>
  </si>
  <si>
    <t>Situatie:</t>
  </si>
  <si>
    <t>Geboortedatum</t>
  </si>
  <si>
    <t>Jaar</t>
  </si>
  <si>
    <t>Maand</t>
  </si>
  <si>
    <t>Dag</t>
  </si>
  <si>
    <t>Leeftijd</t>
  </si>
  <si>
    <t>Box 1 Inkomen</t>
  </si>
  <si>
    <t>Bron 1: Winst uit onderneming</t>
  </si>
  <si>
    <t>Bron 2: Loon, uitkering of pensioen</t>
  </si>
  <si>
    <t>Bron 3: Fooien en andere inkomsten</t>
  </si>
  <si>
    <t>Bron 4: Stagevergoeding</t>
  </si>
  <si>
    <t>Bron 5: Buitenlandse inkomsten</t>
  </si>
  <si>
    <t>Bron 6: Inkomsten als freelancer, gastouder, artiest of beroepssporter</t>
  </si>
  <si>
    <t>Bron 7: Periodieke uitkering</t>
  </si>
  <si>
    <t>Bron 8: Negatieve persoonsgebonden aftrek</t>
  </si>
  <si>
    <t>Bron 9: Terugontvangen premies voor lijfrenten en dergelijke</t>
  </si>
  <si>
    <t>Bron 10: Eigenwoningforfait</t>
  </si>
  <si>
    <t>Bron 11: Kapitaalverzekering eigen woning</t>
  </si>
  <si>
    <t>Bron 12: Hypotheekrente</t>
  </si>
  <si>
    <t>Totaal inkomen box 1</t>
  </si>
  <si>
    <t>Persoonsgebonden aftrek</t>
  </si>
  <si>
    <t>Inkomstenbelasting Box 1</t>
  </si>
  <si>
    <t>Box 2 Inkomen</t>
  </si>
  <si>
    <t>Reguliere voordelen aanmerkelijk belang</t>
  </si>
  <si>
    <t>Vervreemdelingsvoordelen uit aanmerkelijk belang</t>
  </si>
  <si>
    <t>Kosten aanmerkelijk belang</t>
  </si>
  <si>
    <t>Totaal Inkomen Box 2</t>
  </si>
  <si>
    <t xml:space="preserve">Persoonsgebonden aftrek </t>
  </si>
  <si>
    <t>Inkomstenbelasting Box 2</t>
  </si>
  <si>
    <t>Box 3 Inkomen</t>
  </si>
  <si>
    <t>Dividend op beleggingen</t>
  </si>
  <si>
    <t>Huurinkomsten op 2de woning</t>
  </si>
  <si>
    <t>Groene bank- en spaartegoeden</t>
  </si>
  <si>
    <t>Banktegoeden
(Spaartegoeden/contact geld)</t>
  </si>
  <si>
    <t>Overige groene beleggingen 
(indien van toepassing)</t>
  </si>
  <si>
    <t>Overige beleggingen</t>
  </si>
  <si>
    <t>Consumptieve lening</t>
  </si>
  <si>
    <t>Opgenomen bedrag
doorlopend krediet:</t>
  </si>
  <si>
    <t>Totaalinkomen Box 3</t>
  </si>
  <si>
    <t>Inkomstenbelasting Box 3</t>
  </si>
  <si>
    <t>Totaal inkomen box 1-2-3</t>
  </si>
  <si>
    <t>Belastingheffing box 1-2-3</t>
  </si>
  <si>
    <t>Algemene heffingskorting</t>
  </si>
  <si>
    <t>Arbeidskorting</t>
  </si>
  <si>
    <t>Besteedbaar Inkomen partner 1</t>
  </si>
  <si>
    <t>Vaste lasten</t>
  </si>
  <si>
    <t>Consumptief besteedbaar Inkomen partner 1</t>
  </si>
  <si>
    <t>Gezamelijke Vaste Lasten</t>
  </si>
  <si>
    <t>onderhoud huis</t>
  </si>
  <si>
    <t>Naam partner 2:</t>
  </si>
  <si>
    <t>Naomi</t>
  </si>
  <si>
    <t>Fiscale Partners</t>
  </si>
  <si>
    <t>Besteedbaar Inkomen Fiscale Partners</t>
  </si>
  <si>
    <t>Consumptief besteedbaar  Fiscale Partners</t>
  </si>
  <si>
    <t>Francis en Naomi merken dat ze best wel wat overhouden van hun salaris en goed kunnen sparen. Ze lopen met het idee rond om een nieuwe woning te kopen in de prijsklasse tot €600.000 (ga uit van eenzelfde WOZ-waarde). Dit betekent wel een forse verhoging van hun hypotheek. Ze verwachten voor de woning die ze mooi vinden uiteindelijk een financiering nodig te hebben van € 500.000. Een voorzichtige inschatting leert hen dat de maandlasten voor die financiering uitkomen op € 2.500, bestaande uit € 1.450 rente en € 1.050 aflossing per maand. Behalve hogere hypotheeklasten, verwachten ze ook € 1.000 per jaar extra kwijt te zijn aan een overlijdensrisicoverzekering, € 400 extra aan verzekeringen en de gemeentelijke heffingen zullen stijgen naar € 1.800 per jaar.</t>
  </si>
  <si>
    <t>Klant 1</t>
  </si>
  <si>
    <t>Nog geen aow</t>
  </si>
  <si>
    <t>Heffingskorting</t>
  </si>
  <si>
    <t>Schijf</t>
  </si>
  <si>
    <t>Grens</t>
  </si>
  <si>
    <t>Percentage</t>
  </si>
  <si>
    <t>Belasting</t>
  </si>
  <si>
    <t>Schijf 1</t>
  </si>
  <si>
    <t>Niveau</t>
  </si>
  <si>
    <t>Lager dan</t>
  </si>
  <si>
    <t>Formule korting Belastingdienst</t>
  </si>
  <si>
    <t>vast bedrag</t>
  </si>
  <si>
    <t>percentage</t>
  </si>
  <si>
    <t>Schijf 2</t>
  </si>
  <si>
    <t>Vanaf 75.518</t>
  </si>
  <si>
    <t>Niveau 1</t>
  </si>
  <si>
    <t>€ 3362 (vast bedrag)</t>
  </si>
  <si>
    <t>Totaal</t>
  </si>
  <si>
    <t>Niveau 2</t>
  </si>
  <si>
    <t>€ 3.362 - 6,630% x (belastbaar inkomen uit werk en woning - € 24.812)</t>
  </si>
  <si>
    <t>Klant 2</t>
  </si>
  <si>
    <t>arbeidsinkomen tot</t>
  </si>
  <si>
    <t>basisbedrag</t>
  </si>
  <si>
    <t>8,425% x arbeidsinkomen</t>
  </si>
  <si>
    <t>€ 968 + 31,433% x (arbeidsinkomen - € 11.490)</t>
  </si>
  <si>
    <t>Niveau 3</t>
  </si>
  <si>
    <t>€ 5.158 + 2,471% x (arbeidsinkomen - € 24.820)</t>
  </si>
  <si>
    <t>Niveau 4</t>
  </si>
  <si>
    <t>€ 5.532 - 6,510% x (arbeidsinkomen - € 39.957)</t>
  </si>
  <si>
    <t>AOW Leeftijd berekenen</t>
  </si>
  <si>
    <t>klant 1</t>
  </si>
  <si>
    <t>Datum</t>
  </si>
  <si>
    <t>Bereikt AOW</t>
  </si>
  <si>
    <t>voor 1 jan 1946</t>
  </si>
  <si>
    <t xml:space="preserve">Percentage </t>
  </si>
  <si>
    <t>tot €40,021</t>
  </si>
  <si>
    <t>vanaf €40,021 tot €75,518</t>
  </si>
  <si>
    <t>vanaf €75,518</t>
  </si>
  <si>
    <t>Beriekt AOW</t>
  </si>
  <si>
    <t>na 1 jan 1946</t>
  </si>
  <si>
    <t>Precentage</t>
  </si>
  <si>
    <t>tot €38,098</t>
  </si>
  <si>
    <t>vanaf €38,098 tot €75,518</t>
  </si>
  <si>
    <t>AOW in 2024</t>
  </si>
  <si>
    <t>tot € 38.098</t>
  </si>
  <si>
    <t>vanaf € 38.098 tot € 75.518</t>
  </si>
  <si>
    <t>vanaf € 75.518</t>
  </si>
  <si>
    <t>klant 2</t>
  </si>
  <si>
    <t>Reguliere voordelen uit Aanmerkelijk belang (zoals dividend)</t>
  </si>
  <si>
    <t>Vervreemdingsvoordelen uit Aanmerkelijk belang ((zoals verkoopwinst op aandelen)</t>
  </si>
  <si>
    <t>Belastbaar inkomen</t>
  </si>
  <si>
    <t>Te betalen belasting</t>
  </si>
  <si>
    <t>Totale Groene Beleggingen</t>
  </si>
  <si>
    <t>Soort vermogen</t>
  </si>
  <si>
    <t>Fictiefrendement</t>
  </si>
  <si>
    <t>Spaargeld</t>
  </si>
  <si>
    <t>Stap 1:</t>
  </si>
  <si>
    <t>Schulden</t>
  </si>
  <si>
    <t>Bezittingen:</t>
  </si>
  <si>
    <t>Overige bezittingen</t>
  </si>
  <si>
    <t>Fictief rendement op spaartegoeden:</t>
  </si>
  <si>
    <t>Fictief rendement op beleggingen:</t>
  </si>
  <si>
    <t>Fictief rendement op groene beleggingen</t>
  </si>
  <si>
    <t>Totale fictieve rendementen:</t>
  </si>
  <si>
    <t>Heffingsvrij vermogen</t>
  </si>
  <si>
    <t>Groene beleggingen</t>
  </si>
  <si>
    <t>Schulden:</t>
  </si>
  <si>
    <t>Schuldendrempel</t>
  </si>
  <si>
    <t>Consumptieve lening:</t>
  </si>
  <si>
    <t>Schulddrempel:</t>
  </si>
  <si>
    <t>Aftrekbare schuld:</t>
  </si>
  <si>
    <t>Fictief rendement op schulden:</t>
  </si>
  <si>
    <t>Rendementgrondslag:</t>
  </si>
  <si>
    <t>Rendement op vermogen</t>
  </si>
  <si>
    <t>Stap 2:</t>
  </si>
  <si>
    <t>Totaal vermogen</t>
  </si>
  <si>
    <t>Gezamelijk grondslag vermogenbelasting</t>
  </si>
  <si>
    <t>Belastbare groene beleggingen</t>
  </si>
  <si>
    <t>Stap 3:</t>
  </si>
  <si>
    <t>Rendement percentage</t>
  </si>
  <si>
    <t>Gezamelijke rendementsgrondslag</t>
  </si>
  <si>
    <t>Stap 4:</t>
  </si>
  <si>
    <t>Voordeel uit sparen en beleggen</t>
  </si>
  <si>
    <t>Stap 5:</t>
  </si>
  <si>
    <t>Vermogensrendementheffing box 3</t>
  </si>
  <si>
    <t>Tarief inkomsten belasting box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</si>
</sst>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 #,##0_);_(&quot;€&quot;\ * \(#,##0\);_(&quot;€&quot;\ * &quot;-&quot;_);_(@_)"/>
    <numFmt numFmtId="165" formatCode="_(&quot;€&quot;\ * #,##0.00_);_(&quot;€&quot;\ * \(#,##0.00\);_(&quot;€&quot;\ * &quot;-&quot;??_);_(@_)"/>
    <numFmt numFmtId="166" formatCode="_([$€-2]\ * #,##0.00_);_([$€-2]\ * \(#,##0.00\);_([$€-2]\ * &quot;-&quot;??_);_(@_)"/>
    <numFmt numFmtId="167" formatCode="_ * #,##0_ ;_ * \-#,##0_ ;_ * &quot;-&quot;??_ ;_ @_ "/>
    <numFmt numFmtId="168" formatCode="_ &quot;€&quot;\ * #,##0_ ;_ &quot;€&quot;\ * \-#,##0_ ;_ &quot;€&quot;\ * &quot;-&quot;??_ ;_ @_ "/>
    <numFmt numFmtId="169" formatCode="0.000%"/>
  </numFmts>
  <fonts count="29">
    <font>
      <sz val="11"/>
      <color theme="1"/>
      <name val="Aptos Narrow"/>
      <family val="2"/>
      <scheme val="minor"/>
    </font>
    <font>
      <b/>
      <sz val="11"/>
      <color rgb="FFFEFFFF"/>
      <name val="Inherit"/>
      <charset val="1"/>
    </font>
    <font>
      <b/>
      <sz val="11"/>
      <color rgb="FF444444"/>
      <name val="Inherit"/>
      <charset val="1"/>
    </font>
    <font>
      <sz val="11"/>
      <color rgb="FF444444"/>
      <name val="Inherit"/>
      <charset val="1"/>
    </font>
    <font>
      <b/>
      <sz val="11"/>
      <color theme="1"/>
      <name val="Aptos Narrow"/>
      <family val="2"/>
      <scheme val="minor"/>
    </font>
    <font>
      <sz val="10"/>
      <color rgb="FF444444"/>
      <name val="Arial"/>
      <family val="2"/>
    </font>
    <font>
      <sz val="9"/>
      <color rgb="FF444444"/>
      <name val="Arial"/>
      <family val="2"/>
    </font>
    <font>
      <b/>
      <sz val="9"/>
      <color rgb="FF444444"/>
      <name val="Arial"/>
      <family val="2"/>
    </font>
    <font>
      <b/>
      <sz val="11"/>
      <color rgb="FF444444"/>
      <name val="Arial"/>
      <family val="2"/>
    </font>
    <font>
      <sz val="11"/>
      <color theme="1"/>
      <name val="Aptos Narrow"/>
      <family val="2"/>
      <scheme val="minor"/>
    </font>
    <font>
      <b/>
      <sz val="11"/>
      <color theme="1"/>
      <name val="Aptos Narrow"/>
      <scheme val="minor"/>
    </font>
    <font>
      <sz val="8"/>
      <name val="Aptos Narrow"/>
      <family val="2"/>
      <scheme val="minor"/>
    </font>
    <font>
      <i/>
      <sz val="11"/>
      <color theme="1"/>
      <name val="Aptos Narrow"/>
      <scheme val="minor"/>
    </font>
    <font>
      <b/>
      <i/>
      <sz val="11"/>
      <color theme="1"/>
      <name val="Aptos Narrow"/>
      <scheme val="minor"/>
    </font>
    <font>
      <sz val="11"/>
      <color theme="1"/>
      <name val="Aptos Narrow"/>
      <scheme val="minor"/>
    </font>
    <font>
      <sz val="11"/>
      <color rgb="FFFF0000"/>
      <name val="Aptos Narrow"/>
      <family val="2"/>
      <scheme val="minor"/>
    </font>
    <font>
      <i/>
      <sz val="11"/>
      <color theme="1"/>
      <name val="Aptos Narrow"/>
      <family val="2"/>
      <scheme val="minor"/>
    </font>
    <font>
      <b/>
      <i/>
      <sz val="11"/>
      <color theme="1"/>
      <name val="Aptos Narrow"/>
      <family val="2"/>
      <scheme val="minor"/>
    </font>
    <font>
      <sz val="11"/>
      <color rgb="FF000000"/>
      <name val="Aptos Narrow"/>
    </font>
    <font>
      <b/>
      <i/>
      <sz val="11"/>
      <color rgb="FF000000"/>
      <name val="Aptos Narrow"/>
      <scheme val="minor"/>
    </font>
    <font>
      <sz val="10"/>
      <color theme="1"/>
      <name val="Calibri"/>
      <family val="2"/>
    </font>
    <font>
      <sz val="11"/>
      <color rgb="FF00B0F0"/>
      <name val="Aptos Narrow"/>
      <family val="2"/>
      <scheme val="minor"/>
    </font>
    <font>
      <i/>
      <sz val="11"/>
      <color rgb="FF000000"/>
      <name val="Aptos Narrow"/>
      <scheme val="minor"/>
    </font>
    <font>
      <sz val="36"/>
      <color theme="1"/>
      <name val="Aptos Narrow"/>
      <family val="2"/>
      <scheme val="minor"/>
    </font>
    <font>
      <b/>
      <sz val="36"/>
      <color theme="1"/>
      <name val="Aptos Narrow"/>
      <family val="2"/>
      <scheme val="minor"/>
    </font>
    <font>
      <u/>
      <sz val="11"/>
      <color theme="10"/>
      <name val="Aptos Narrow"/>
      <family val="2"/>
      <scheme val="minor"/>
    </font>
    <font>
      <b/>
      <i/>
      <sz val="11"/>
      <color rgb="FF000000"/>
      <name val="Aptos Narrow"/>
      <family val="2"/>
      <scheme val="minor"/>
    </font>
    <font>
      <u/>
      <sz val="28"/>
      <color theme="10"/>
      <name val="Aptos Narrow"/>
      <family val="2"/>
      <scheme val="minor"/>
    </font>
    <font>
      <b/>
      <sz val="9"/>
      <color rgb="FF444444"/>
      <name val="Arial"/>
      <charset val="1"/>
    </font>
  </fonts>
  <fills count="12">
    <fill>
      <patternFill patternType="none"/>
    </fill>
    <fill>
      <patternFill patternType="gray125"/>
    </fill>
    <fill>
      <patternFill patternType="solid">
        <fgColor rgb="FFF4007E"/>
        <bgColor indexed="64"/>
      </patternFill>
    </fill>
    <fill>
      <patternFill patternType="solid">
        <fgColor rgb="FFF6F6F6"/>
        <bgColor indexed="64"/>
      </patternFill>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theme="3"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style="thin">
        <color rgb="FFE5E5E5"/>
      </right>
      <top style="thin">
        <color rgb="FFE5E5E5"/>
      </top>
      <bottom style="thin">
        <color rgb="FFE5E5E5"/>
      </bottom>
      <diagonal/>
    </border>
    <border>
      <left style="thin">
        <color rgb="FFE5E5E5"/>
      </left>
      <right/>
      <top style="thin">
        <color rgb="FFE5E5E5"/>
      </top>
      <bottom style="thin">
        <color rgb="FFE5E5E5"/>
      </bottom>
      <diagonal/>
    </border>
    <border>
      <left/>
      <right style="thin">
        <color rgb="FFE5E5E5"/>
      </right>
      <top style="thin">
        <color rgb="FFE5E5E5"/>
      </top>
      <bottom/>
      <diagonal/>
    </border>
    <border>
      <left style="thin">
        <color rgb="FFE5E5E5"/>
      </left>
      <right/>
      <top style="thin">
        <color rgb="FFE5E5E5"/>
      </top>
      <bottom/>
      <diagonal/>
    </border>
    <border>
      <left style="thin">
        <color rgb="FFE5E5E5"/>
      </left>
      <right style="thin">
        <color rgb="FFE5E5E5"/>
      </right>
      <top style="thin">
        <color rgb="FFE5E5E5"/>
      </top>
      <bottom style="thin">
        <color rgb="FFE5E5E5"/>
      </bottom>
      <diagonal/>
    </border>
    <border>
      <left style="thin">
        <color rgb="FFE5E5E5"/>
      </left>
      <right style="thin">
        <color rgb="FFE5E5E5"/>
      </right>
      <top style="thin">
        <color rgb="FFE5E5E5"/>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rgb="FF000000"/>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style="thin">
        <color rgb="FF000000"/>
      </top>
      <bottom/>
      <diagonal/>
    </border>
  </borders>
  <cellStyleXfs count="5">
    <xf numFmtId="0" fontId="0" fillId="0" borderId="0"/>
    <xf numFmtId="165"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25" fillId="0" borderId="0" applyNumberFormat="0" applyFill="0" applyBorder="0" applyAlignment="0" applyProtection="0"/>
  </cellStyleXfs>
  <cellXfs count="192">
    <xf numFmtId="0" fontId="0" fillId="0" borderId="0" xfId="0"/>
    <xf numFmtId="0" fontId="1" fillId="2" borderId="0" xfId="0" applyFont="1" applyFill="1" applyAlignment="1">
      <alignment wrapText="1"/>
    </xf>
    <xf numFmtId="0" fontId="2" fillId="3" borderId="1" xfId="0" applyFont="1" applyFill="1" applyBorder="1" applyAlignment="1">
      <alignment wrapText="1"/>
    </xf>
    <xf numFmtId="0" fontId="3" fillId="3" borderId="2" xfId="0" applyFont="1" applyFill="1" applyBorder="1" applyAlignment="1">
      <alignment wrapText="1"/>
    </xf>
    <xf numFmtId="10" fontId="3" fillId="3" borderId="2" xfId="0" applyNumberFormat="1" applyFont="1" applyFill="1" applyBorder="1" applyAlignment="1">
      <alignment wrapText="1"/>
    </xf>
    <xf numFmtId="0" fontId="2" fillId="3" borderId="3" xfId="0" applyFont="1" applyFill="1" applyBorder="1" applyAlignment="1">
      <alignment wrapText="1"/>
    </xf>
    <xf numFmtId="0" fontId="3" fillId="3" borderId="4" xfId="0" applyFont="1" applyFill="1" applyBorder="1" applyAlignment="1">
      <alignment wrapText="1"/>
    </xf>
    <xf numFmtId="10" fontId="3" fillId="3" borderId="4" xfId="0" applyNumberFormat="1" applyFont="1" applyFill="1" applyBorder="1" applyAlignment="1">
      <alignment wrapText="1"/>
    </xf>
    <xf numFmtId="0" fontId="3" fillId="3" borderId="5" xfId="0" applyFont="1" applyFill="1" applyBorder="1" applyAlignment="1">
      <alignment wrapText="1"/>
    </xf>
    <xf numFmtId="0" fontId="3" fillId="3" borderId="6" xfId="0" applyFont="1" applyFill="1" applyBorder="1" applyAlignment="1">
      <alignment wrapText="1"/>
    </xf>
    <xf numFmtId="0" fontId="4" fillId="0" borderId="0" xfId="0" applyFont="1"/>
    <xf numFmtId="0" fontId="6" fillId="4" borderId="0" xfId="0" applyFont="1" applyFill="1" applyAlignment="1">
      <alignment wrapText="1"/>
    </xf>
    <xf numFmtId="0" fontId="0" fillId="4" borderId="0" xfId="0" applyFill="1"/>
    <xf numFmtId="0" fontId="4" fillId="4" borderId="0" xfId="0" applyFont="1" applyFill="1"/>
    <xf numFmtId="0" fontId="5" fillId="4" borderId="0" xfId="0" applyFont="1" applyFill="1"/>
    <xf numFmtId="0" fontId="0" fillId="4" borderId="0" xfId="0" applyFill="1" applyAlignment="1">
      <alignment wrapText="1"/>
    </xf>
    <xf numFmtId="10" fontId="0" fillId="0" borderId="0" xfId="0" applyNumberFormat="1"/>
    <xf numFmtId="10" fontId="0" fillId="4" borderId="0" xfId="0" applyNumberFormat="1" applyFill="1"/>
    <xf numFmtId="0" fontId="0" fillId="4" borderId="7" xfId="0" applyFill="1" applyBorder="1"/>
    <xf numFmtId="0" fontId="8" fillId="4" borderId="0" xfId="0" applyFont="1" applyFill="1"/>
    <xf numFmtId="0" fontId="6" fillId="4" borderId="0" xfId="0" applyFont="1" applyFill="1"/>
    <xf numFmtId="0" fontId="7" fillId="4" borderId="0" xfId="0" applyFont="1" applyFill="1"/>
    <xf numFmtId="0" fontId="10" fillId="0" borderId="0" xfId="0" applyFont="1"/>
    <xf numFmtId="165" fontId="0" fillId="0" borderId="0" xfId="1" applyFont="1"/>
    <xf numFmtId="165" fontId="0" fillId="0" borderId="0" xfId="0" applyNumberFormat="1"/>
    <xf numFmtId="0" fontId="10" fillId="4" borderId="8" xfId="0" applyFont="1" applyFill="1" applyBorder="1" applyAlignment="1">
      <alignment horizontal="center" textRotation="90" wrapText="1" shrinkToFit="1"/>
    </xf>
    <xf numFmtId="0" fontId="10" fillId="4" borderId="9" xfId="0" applyFont="1" applyFill="1" applyBorder="1" applyAlignment="1">
      <alignment horizontal="center" textRotation="90" wrapText="1" shrinkToFit="1"/>
    </xf>
    <xf numFmtId="164" fontId="0" fillId="5" borderId="0" xfId="1" applyNumberFormat="1" applyFont="1" applyFill="1"/>
    <xf numFmtId="164" fontId="10" fillId="5" borderId="8" xfId="0" applyNumberFormat="1" applyFont="1" applyFill="1" applyBorder="1" applyAlignment="1">
      <alignment horizontal="right" textRotation="90"/>
    </xf>
    <xf numFmtId="164" fontId="0" fillId="5" borderId="8" xfId="1" applyNumberFormat="1" applyFont="1" applyFill="1" applyBorder="1"/>
    <xf numFmtId="164" fontId="0" fillId="0" borderId="12" xfId="1" applyNumberFormat="1" applyFont="1" applyBorder="1"/>
    <xf numFmtId="164" fontId="0" fillId="0" borderId="8" xfId="1" applyNumberFormat="1" applyFont="1" applyBorder="1"/>
    <xf numFmtId="164" fontId="0" fillId="7" borderId="8" xfId="1" applyNumberFormat="1" applyFont="1" applyFill="1" applyBorder="1"/>
    <xf numFmtId="164" fontId="15" fillId="0" borderId="8" xfId="1" applyNumberFormat="1" applyFont="1" applyFill="1" applyBorder="1"/>
    <xf numFmtId="164" fontId="0" fillId="6" borderId="8" xfId="1" applyNumberFormat="1" applyFont="1" applyFill="1" applyBorder="1"/>
    <xf numFmtId="164" fontId="0" fillId="8" borderId="8" xfId="1" applyNumberFormat="1" applyFont="1" applyFill="1" applyBorder="1"/>
    <xf numFmtId="164" fontId="0" fillId="9" borderId="8" xfId="1" applyNumberFormat="1" applyFont="1" applyFill="1" applyBorder="1"/>
    <xf numFmtId="164" fontId="0" fillId="10" borderId="8" xfId="1" applyNumberFormat="1" applyFont="1" applyFill="1" applyBorder="1"/>
    <xf numFmtId="164" fontId="10" fillId="4" borderId="8" xfId="1" applyNumberFormat="1" applyFont="1" applyFill="1" applyBorder="1" applyAlignment="1">
      <alignment horizontal="center" textRotation="90" wrapText="1" shrinkToFit="1"/>
    </xf>
    <xf numFmtId="164" fontId="10" fillId="4" borderId="9" xfId="0" applyNumberFormat="1" applyFont="1" applyFill="1" applyBorder="1" applyAlignment="1">
      <alignment horizontal="center" textRotation="90" wrapText="1" shrinkToFit="1"/>
    </xf>
    <xf numFmtId="164" fontId="0" fillId="9" borderId="0" xfId="1" applyNumberFormat="1" applyFont="1" applyFill="1"/>
    <xf numFmtId="164" fontId="0" fillId="0" borderId="0" xfId="1" applyNumberFormat="1" applyFont="1"/>
    <xf numFmtId="164" fontId="0" fillId="0" borderId="0" xfId="0" applyNumberFormat="1"/>
    <xf numFmtId="164" fontId="0" fillId="9" borderId="8" xfId="0" applyNumberFormat="1" applyFill="1" applyBorder="1"/>
    <xf numFmtId="166" fontId="0" fillId="5" borderId="8" xfId="1" applyNumberFormat="1" applyFont="1" applyFill="1" applyBorder="1"/>
    <xf numFmtId="0" fontId="16" fillId="0" borderId="0" xfId="0" applyFont="1" applyAlignment="1">
      <alignment horizontal="left"/>
    </xf>
    <xf numFmtId="0" fontId="0" fillId="0" borderId="8" xfId="0" applyBorder="1"/>
    <xf numFmtId="167" fontId="0" fillId="0" borderId="8" xfId="2" applyNumberFormat="1" applyFont="1" applyBorder="1" applyAlignment="1">
      <alignment horizontal="left"/>
    </xf>
    <xf numFmtId="10" fontId="0" fillId="0" borderId="8" xfId="3" applyNumberFormat="1" applyFont="1" applyBorder="1"/>
    <xf numFmtId="168" fontId="0" fillId="0" borderId="8" xfId="1" applyNumberFormat="1" applyFont="1" applyBorder="1"/>
    <xf numFmtId="0" fontId="0" fillId="0" borderId="0" xfId="0" applyAlignment="1">
      <alignment horizontal="left"/>
    </xf>
    <xf numFmtId="0" fontId="17" fillId="11" borderId="0" xfId="0" applyFont="1" applyFill="1"/>
    <xf numFmtId="168" fontId="16" fillId="0" borderId="8" xfId="1" applyNumberFormat="1" applyFont="1" applyFill="1" applyBorder="1"/>
    <xf numFmtId="10" fontId="16" fillId="11" borderId="0" xfId="0" applyNumberFormat="1" applyFont="1" applyFill="1"/>
    <xf numFmtId="167" fontId="0" fillId="11" borderId="0" xfId="2" applyNumberFormat="1" applyFont="1" applyFill="1"/>
    <xf numFmtId="0" fontId="0" fillId="11" borderId="0" xfId="0" applyFill="1"/>
    <xf numFmtId="169" fontId="0" fillId="11" borderId="0" xfId="3" applyNumberFormat="1" applyFont="1" applyFill="1"/>
    <xf numFmtId="169" fontId="0" fillId="0" borderId="8" xfId="3" applyNumberFormat="1" applyFont="1" applyBorder="1"/>
    <xf numFmtId="165" fontId="0" fillId="0" borderId="8" xfId="1" applyFont="1" applyBorder="1"/>
    <xf numFmtId="169" fontId="0" fillId="0" borderId="8" xfId="0" applyNumberFormat="1" applyBorder="1"/>
    <xf numFmtId="0" fontId="16" fillId="11" borderId="0" xfId="0" applyFont="1" applyFill="1"/>
    <xf numFmtId="14" fontId="0" fillId="0" borderId="0" xfId="0" applyNumberFormat="1"/>
    <xf numFmtId="0" fontId="0" fillId="0" borderId="14" xfId="0" applyBorder="1"/>
    <xf numFmtId="10" fontId="0" fillId="0" borderId="14" xfId="0" applyNumberFormat="1" applyBorder="1"/>
    <xf numFmtId="0" fontId="18" fillId="0" borderId="14" xfId="0" applyFont="1" applyBorder="1"/>
    <xf numFmtId="0" fontId="0" fillId="0" borderId="15" xfId="0" applyBorder="1"/>
    <xf numFmtId="10" fontId="0" fillId="0" borderId="15" xfId="0" applyNumberFormat="1" applyBorder="1"/>
    <xf numFmtId="0" fontId="0" fillId="0" borderId="10" xfId="0" applyBorder="1"/>
    <xf numFmtId="0" fontId="0" fillId="0" borderId="10" xfId="0" applyBorder="1" applyAlignment="1">
      <alignment horizontal="left"/>
    </xf>
    <xf numFmtId="10" fontId="0" fillId="0" borderId="10" xfId="3" applyNumberFormat="1" applyFont="1" applyBorder="1"/>
    <xf numFmtId="168" fontId="0" fillId="0" borderId="10" xfId="1" applyNumberFormat="1" applyFont="1" applyBorder="1"/>
    <xf numFmtId="168" fontId="0" fillId="0" borderId="14" xfId="0" applyNumberFormat="1" applyBorder="1"/>
    <xf numFmtId="166" fontId="0" fillId="0" borderId="14" xfId="0" applyNumberFormat="1" applyBorder="1"/>
    <xf numFmtId="166" fontId="0" fillId="0" borderId="15" xfId="0" applyNumberFormat="1" applyBorder="1"/>
    <xf numFmtId="0" fontId="0" fillId="0" borderId="16" xfId="0" applyBorder="1"/>
    <xf numFmtId="0" fontId="10" fillId="5" borderId="9" xfId="0" applyFont="1" applyFill="1" applyBorder="1" applyAlignment="1">
      <alignment horizontal="right"/>
    </xf>
    <xf numFmtId="0" fontId="13" fillId="5" borderId="8" xfId="0" applyFont="1" applyFill="1" applyBorder="1" applyAlignment="1">
      <alignment horizontal="left"/>
    </xf>
    <xf numFmtId="164" fontId="0" fillId="5" borderId="14" xfId="1" applyNumberFormat="1" applyFont="1" applyFill="1" applyBorder="1"/>
    <xf numFmtId="164" fontId="10" fillId="5" borderId="12" xfId="0" applyNumberFormat="1" applyFont="1" applyFill="1" applyBorder="1" applyAlignment="1">
      <alignment horizontal="right" textRotation="90"/>
    </xf>
    <xf numFmtId="164" fontId="0" fillId="5" borderId="11" xfId="1" applyNumberFormat="1" applyFont="1" applyFill="1" applyBorder="1"/>
    <xf numFmtId="0" fontId="13" fillId="5" borderId="9" xfId="0" applyFont="1" applyFill="1" applyBorder="1" applyAlignment="1">
      <alignment horizontal="right"/>
    </xf>
    <xf numFmtId="0" fontId="13" fillId="5" borderId="14" xfId="0" applyFont="1" applyFill="1" applyBorder="1" applyAlignment="1">
      <alignment horizontal="right"/>
    </xf>
    <xf numFmtId="0" fontId="10" fillId="5" borderId="14" xfId="0" applyFont="1" applyFill="1" applyBorder="1" applyAlignment="1">
      <alignment horizontal="right"/>
    </xf>
    <xf numFmtId="164" fontId="0" fillId="5" borderId="17" xfId="1" applyNumberFormat="1" applyFont="1" applyFill="1" applyBorder="1"/>
    <xf numFmtId="164" fontId="0" fillId="6" borderId="8" xfId="1" applyNumberFormat="1" applyFont="1" applyFill="1" applyBorder="1" applyAlignment="1">
      <alignment horizontal="right"/>
    </xf>
    <xf numFmtId="164" fontId="0" fillId="5" borderId="19" xfId="1" applyNumberFormat="1" applyFont="1" applyFill="1" applyBorder="1"/>
    <xf numFmtId="164" fontId="13" fillId="5" borderId="8" xfId="0" applyNumberFormat="1" applyFont="1" applyFill="1" applyBorder="1" applyAlignment="1">
      <alignment horizontal="right"/>
    </xf>
    <xf numFmtId="164" fontId="13" fillId="5" borderId="12" xfId="0" applyNumberFormat="1" applyFont="1" applyFill="1" applyBorder="1" applyAlignment="1">
      <alignment horizontal="right"/>
    </xf>
    <xf numFmtId="0" fontId="10" fillId="5" borderId="15" xfId="0" applyFont="1" applyFill="1" applyBorder="1" applyAlignment="1">
      <alignment horizontal="right"/>
    </xf>
    <xf numFmtId="164" fontId="17" fillId="5" borderId="0" xfId="1" applyNumberFormat="1" applyFont="1" applyFill="1"/>
    <xf numFmtId="164" fontId="17" fillId="5" borderId="14" xfId="1" applyNumberFormat="1" applyFont="1" applyFill="1" applyBorder="1"/>
    <xf numFmtId="0" fontId="4" fillId="0" borderId="8" xfId="0" applyFont="1" applyBorder="1"/>
    <xf numFmtId="0" fontId="4" fillId="11" borderId="0" xfId="0" applyFont="1" applyFill="1"/>
    <xf numFmtId="0" fontId="10" fillId="5" borderId="20" xfId="0" applyFont="1" applyFill="1" applyBorder="1" applyAlignment="1">
      <alignment horizontal="right"/>
    </xf>
    <xf numFmtId="166" fontId="0" fillId="5" borderId="8" xfId="1" applyNumberFormat="1" applyFont="1" applyFill="1" applyBorder="1" applyAlignment="1">
      <alignment wrapText="1"/>
    </xf>
    <xf numFmtId="165" fontId="21" fillId="5" borderId="0" xfId="1" applyFont="1" applyFill="1"/>
    <xf numFmtId="0" fontId="17" fillId="5" borderId="8" xfId="0" applyFont="1" applyFill="1" applyBorder="1" applyAlignment="1">
      <alignment horizontal="left"/>
    </xf>
    <xf numFmtId="164" fontId="0" fillId="5" borderId="21" xfId="1" applyNumberFormat="1" applyFont="1" applyFill="1" applyBorder="1"/>
    <xf numFmtId="0" fontId="23" fillId="0" borderId="0" xfId="0" applyFont="1"/>
    <xf numFmtId="0" fontId="4" fillId="4" borderId="8" xfId="0" applyFont="1" applyFill="1" applyBorder="1" applyAlignment="1">
      <alignment horizontal="center" textRotation="90" wrapText="1" shrinkToFit="1"/>
    </xf>
    <xf numFmtId="0" fontId="4" fillId="5" borderId="9" xfId="0" applyFont="1" applyFill="1" applyBorder="1" applyAlignment="1">
      <alignment horizontal="right"/>
    </xf>
    <xf numFmtId="164" fontId="4" fillId="5" borderId="8" xfId="0" applyNumberFormat="1" applyFont="1" applyFill="1" applyBorder="1" applyAlignment="1">
      <alignment horizontal="right" textRotation="90"/>
    </xf>
    <xf numFmtId="0" fontId="4" fillId="5" borderId="20" xfId="0" applyFont="1" applyFill="1" applyBorder="1" applyAlignment="1">
      <alignment horizontal="right"/>
    </xf>
    <xf numFmtId="164" fontId="4" fillId="5" borderId="12" xfId="0" applyNumberFormat="1" applyFont="1" applyFill="1" applyBorder="1" applyAlignment="1">
      <alignment horizontal="right" textRotation="90"/>
    </xf>
    <xf numFmtId="0" fontId="17" fillId="5" borderId="9" xfId="0" applyFont="1" applyFill="1" applyBorder="1" applyAlignment="1">
      <alignment horizontal="right"/>
    </xf>
    <xf numFmtId="0" fontId="17" fillId="5" borderId="14" xfId="0" applyFont="1" applyFill="1" applyBorder="1" applyAlignment="1">
      <alignment horizontal="right"/>
    </xf>
    <xf numFmtId="0" fontId="4" fillId="5" borderId="14" xfId="0" applyFont="1" applyFill="1" applyBorder="1" applyAlignment="1">
      <alignment horizontal="right"/>
    </xf>
    <xf numFmtId="164" fontId="17" fillId="5" borderId="8" xfId="0" applyNumberFormat="1" applyFont="1" applyFill="1" applyBorder="1" applyAlignment="1">
      <alignment horizontal="right"/>
    </xf>
    <xf numFmtId="164" fontId="15" fillId="0" borderId="8" xfId="1" applyNumberFormat="1" applyFont="1" applyBorder="1"/>
    <xf numFmtId="168" fontId="16" fillId="0" borderId="8" xfId="1" applyNumberFormat="1" applyFont="1" applyBorder="1"/>
    <xf numFmtId="164" fontId="10" fillId="5" borderId="11" xfId="0" applyNumberFormat="1" applyFont="1" applyFill="1" applyBorder="1" applyAlignment="1">
      <alignment horizontal="right" textRotation="90"/>
    </xf>
    <xf numFmtId="0" fontId="10" fillId="4" borderId="22" xfId="0" applyFont="1" applyFill="1" applyBorder="1" applyAlignment="1">
      <alignment horizontal="center" textRotation="90" wrapText="1" shrinkToFit="1"/>
    </xf>
    <xf numFmtId="164" fontId="10" fillId="4" borderId="22" xfId="0" applyNumberFormat="1" applyFont="1" applyFill="1" applyBorder="1" applyAlignment="1">
      <alignment horizontal="center" textRotation="90" wrapText="1" shrinkToFit="1"/>
    </xf>
    <xf numFmtId="0" fontId="4" fillId="4" borderId="22" xfId="0" applyFont="1" applyFill="1" applyBorder="1" applyAlignment="1">
      <alignment horizontal="center" textRotation="90" wrapText="1" shrinkToFit="1"/>
    </xf>
    <xf numFmtId="164" fontId="4" fillId="9" borderId="8" xfId="1" applyNumberFormat="1" applyFont="1" applyFill="1" applyBorder="1"/>
    <xf numFmtId="0" fontId="0" fillId="4" borderId="7" xfId="0" applyFill="1" applyBorder="1" applyAlignment="1">
      <alignment wrapText="1"/>
    </xf>
    <xf numFmtId="0" fontId="0" fillId="9" borderId="0" xfId="0" applyFill="1"/>
    <xf numFmtId="0" fontId="7" fillId="4" borderId="24" xfId="0" applyFont="1" applyFill="1" applyBorder="1"/>
    <xf numFmtId="0" fontId="0" fillId="4" borderId="24" xfId="0" applyFill="1" applyBorder="1"/>
    <xf numFmtId="1" fontId="0" fillId="4" borderId="0" xfId="0" applyNumberFormat="1" applyFill="1"/>
    <xf numFmtId="1" fontId="0" fillId="0" borderId="0" xfId="0" applyNumberFormat="1"/>
    <xf numFmtId="0" fontId="24" fillId="0" borderId="0" xfId="0" applyFont="1" applyAlignment="1">
      <alignment horizontal="center"/>
    </xf>
    <xf numFmtId="0" fontId="27" fillId="0" borderId="0" xfId="4" applyFont="1" applyAlignment="1">
      <alignment horizontal="center"/>
    </xf>
    <xf numFmtId="0" fontId="17" fillId="9" borderId="8" xfId="0" applyFont="1" applyFill="1" applyBorder="1" applyAlignment="1">
      <alignment horizontal="right"/>
    </xf>
    <xf numFmtId="0" fontId="0" fillId="9" borderId="8" xfId="0" applyFill="1" applyBorder="1" applyAlignment="1">
      <alignment horizontal="center"/>
    </xf>
    <xf numFmtId="0" fontId="0" fillId="9" borderId="9" xfId="0" applyFill="1" applyBorder="1" applyAlignment="1">
      <alignment horizontal="left"/>
    </xf>
    <xf numFmtId="0" fontId="0" fillId="9" borderId="13" xfId="0" applyFill="1" applyBorder="1" applyAlignment="1">
      <alignment horizontal="left"/>
    </xf>
    <xf numFmtId="0" fontId="0" fillId="9" borderId="12" xfId="0" applyFill="1" applyBorder="1" applyAlignment="1">
      <alignment horizontal="left"/>
    </xf>
    <xf numFmtId="0" fontId="16" fillId="9" borderId="8" xfId="0" applyFont="1" applyFill="1" applyBorder="1" applyAlignment="1">
      <alignment horizontal="center"/>
    </xf>
    <xf numFmtId="0" fontId="0" fillId="9" borderId="9" xfId="0" applyFill="1" applyBorder="1" applyAlignment="1">
      <alignment horizontal="center"/>
    </xf>
    <xf numFmtId="0" fontId="0" fillId="9" borderId="13" xfId="0" applyFill="1" applyBorder="1" applyAlignment="1">
      <alignment horizontal="center"/>
    </xf>
    <xf numFmtId="0" fontId="0" fillId="9" borderId="12" xfId="0" applyFill="1" applyBorder="1" applyAlignment="1">
      <alignment horizontal="center"/>
    </xf>
    <xf numFmtId="0" fontId="16" fillId="6" borderId="9" xfId="0" applyFont="1" applyFill="1" applyBorder="1" applyAlignment="1">
      <alignment horizontal="left"/>
    </xf>
    <xf numFmtId="0" fontId="16" fillId="6" borderId="13" xfId="0" applyFont="1" applyFill="1" applyBorder="1" applyAlignment="1">
      <alignment horizontal="left"/>
    </xf>
    <xf numFmtId="0" fontId="16" fillId="6" borderId="12" xfId="0" applyFont="1" applyFill="1" applyBorder="1" applyAlignment="1">
      <alignment horizontal="left"/>
    </xf>
    <xf numFmtId="0" fontId="16" fillId="7" borderId="8" xfId="0" applyFont="1" applyFill="1" applyBorder="1" applyAlignment="1">
      <alignment horizontal="right"/>
    </xf>
    <xf numFmtId="0" fontId="15" fillId="0" borderId="9" xfId="0" applyFont="1" applyBorder="1" applyAlignment="1">
      <alignment horizontal="center"/>
    </xf>
    <xf numFmtId="0" fontId="15" fillId="0" borderId="13" xfId="0" applyFont="1" applyBorder="1" applyAlignment="1">
      <alignment horizontal="center"/>
    </xf>
    <xf numFmtId="0" fontId="15" fillId="0" borderId="12" xfId="0" applyFont="1" applyBorder="1" applyAlignment="1">
      <alignment horizontal="center"/>
    </xf>
    <xf numFmtId="0" fontId="17" fillId="6" borderId="8" xfId="0" applyFont="1" applyFill="1" applyBorder="1" applyAlignment="1">
      <alignment horizontal="right"/>
    </xf>
    <xf numFmtId="0" fontId="0" fillId="7" borderId="8" xfId="0" applyFill="1" applyBorder="1" applyAlignment="1">
      <alignment horizontal="left"/>
    </xf>
    <xf numFmtId="0" fontId="16" fillId="8" borderId="8" xfId="0" applyFont="1" applyFill="1" applyBorder="1" applyAlignment="1">
      <alignment horizontal="right"/>
    </xf>
    <xf numFmtId="0" fontId="16" fillId="6" borderId="8" xfId="0" applyFont="1" applyFill="1" applyBorder="1" applyAlignment="1">
      <alignment horizontal="right"/>
    </xf>
    <xf numFmtId="0" fontId="0" fillId="0" borderId="9"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6" fillId="6" borderId="9" xfId="0" applyFont="1" applyFill="1" applyBorder="1" applyAlignment="1">
      <alignment horizontal="left" wrapText="1"/>
    </xf>
    <xf numFmtId="0" fontId="0" fillId="6" borderId="8" xfId="0" applyFill="1" applyBorder="1" applyAlignment="1">
      <alignment horizontal="right"/>
    </xf>
    <xf numFmtId="0" fontId="17" fillId="7" borderId="11" xfId="0" applyFont="1" applyFill="1" applyBorder="1" applyAlignment="1">
      <alignment horizontal="right"/>
    </xf>
    <xf numFmtId="0" fontId="16" fillId="5" borderId="8" xfId="0" applyFont="1" applyFill="1" applyBorder="1" applyAlignment="1">
      <alignment horizontal="right"/>
    </xf>
    <xf numFmtId="0" fontId="16" fillId="5" borderId="10" xfId="0" applyFont="1" applyFill="1" applyBorder="1" applyAlignment="1">
      <alignment horizontal="right"/>
    </xf>
    <xf numFmtId="0" fontId="0" fillId="5" borderId="8" xfId="0" applyFill="1" applyBorder="1" applyAlignment="1">
      <alignment horizontal="left"/>
    </xf>
    <xf numFmtId="0" fontId="26" fillId="5" borderId="8" xfId="0" applyFont="1" applyFill="1" applyBorder="1" applyAlignment="1">
      <alignment horizontal="left"/>
    </xf>
    <xf numFmtId="0" fontId="0" fillId="5" borderId="18" xfId="0" applyFill="1" applyBorder="1" applyAlignment="1">
      <alignment horizontal="left"/>
    </xf>
    <xf numFmtId="0" fontId="17" fillId="5" borderId="8" xfId="0" applyFont="1" applyFill="1" applyBorder="1" applyAlignment="1">
      <alignment horizontal="right"/>
    </xf>
    <xf numFmtId="0" fontId="17" fillId="5" borderId="11" xfId="0" applyFont="1" applyFill="1" applyBorder="1" applyAlignment="1">
      <alignment horizontal="right"/>
    </xf>
    <xf numFmtId="0" fontId="17" fillId="5" borderId="8" xfId="0" applyFont="1" applyFill="1" applyBorder="1" applyAlignment="1">
      <alignment horizontal="left"/>
    </xf>
    <xf numFmtId="0" fontId="4" fillId="5" borderId="9" xfId="0" applyFont="1" applyFill="1" applyBorder="1" applyAlignment="1">
      <alignment horizontal="right"/>
    </xf>
    <xf numFmtId="0" fontId="4" fillId="5" borderId="12" xfId="0" applyFont="1" applyFill="1" applyBorder="1" applyAlignment="1">
      <alignment horizontal="right"/>
    </xf>
    <xf numFmtId="0" fontId="17" fillId="5" borderId="9" xfId="0" applyFont="1" applyFill="1" applyBorder="1" applyAlignment="1">
      <alignment horizontal="left"/>
    </xf>
    <xf numFmtId="0" fontId="17" fillId="5" borderId="12" xfId="0" applyFont="1" applyFill="1" applyBorder="1" applyAlignment="1">
      <alignment horizontal="left"/>
    </xf>
    <xf numFmtId="0" fontId="12" fillId="5" borderId="10" xfId="0" applyFont="1" applyFill="1" applyBorder="1" applyAlignment="1">
      <alignment horizontal="right"/>
    </xf>
    <xf numFmtId="0" fontId="13" fillId="7" borderId="11" xfId="0" applyFont="1" applyFill="1" applyBorder="1" applyAlignment="1">
      <alignment horizontal="right"/>
    </xf>
    <xf numFmtId="0" fontId="14" fillId="7" borderId="8" xfId="0" applyFont="1" applyFill="1" applyBorder="1" applyAlignment="1">
      <alignment horizontal="left"/>
    </xf>
    <xf numFmtId="0" fontId="12" fillId="6" borderId="9" xfId="0" applyFont="1" applyFill="1" applyBorder="1" applyAlignment="1">
      <alignment horizontal="left"/>
    </xf>
    <xf numFmtId="0" fontId="12" fillId="6" borderId="13" xfId="0" applyFont="1" applyFill="1" applyBorder="1" applyAlignment="1">
      <alignment horizontal="left"/>
    </xf>
    <xf numFmtId="0" fontId="12" fillId="6" borderId="12" xfId="0" applyFont="1" applyFill="1" applyBorder="1" applyAlignment="1">
      <alignment horizontal="left"/>
    </xf>
    <xf numFmtId="0" fontId="12" fillId="6" borderId="9" xfId="0" applyFont="1" applyFill="1" applyBorder="1" applyAlignment="1">
      <alignment horizontal="left" wrapText="1"/>
    </xf>
    <xf numFmtId="0" fontId="12" fillId="5" borderId="8" xfId="0" applyFont="1" applyFill="1" applyBorder="1" applyAlignment="1">
      <alignment horizontal="right"/>
    </xf>
    <xf numFmtId="0" fontId="22" fillId="5" borderId="8" xfId="0" applyFont="1" applyFill="1" applyBorder="1" applyAlignment="1">
      <alignment horizontal="right"/>
    </xf>
    <xf numFmtId="0" fontId="19" fillId="5" borderId="8" xfId="0" applyFont="1" applyFill="1" applyBorder="1" applyAlignment="1">
      <alignment horizontal="left"/>
    </xf>
    <xf numFmtId="0" fontId="13" fillId="5" borderId="8" xfId="0" applyFont="1" applyFill="1" applyBorder="1" applyAlignment="1">
      <alignment horizontal="left"/>
    </xf>
    <xf numFmtId="0" fontId="13" fillId="5" borderId="8" xfId="0" applyFont="1" applyFill="1" applyBorder="1" applyAlignment="1">
      <alignment horizontal="right"/>
    </xf>
    <xf numFmtId="0" fontId="13" fillId="5" borderId="11" xfId="0" applyFont="1" applyFill="1" applyBorder="1" applyAlignment="1">
      <alignment horizontal="right"/>
    </xf>
    <xf numFmtId="0" fontId="10" fillId="5" borderId="9" xfId="0" applyFont="1" applyFill="1" applyBorder="1" applyAlignment="1">
      <alignment horizontal="right"/>
    </xf>
    <xf numFmtId="0" fontId="10" fillId="5" borderId="12" xfId="0" applyFont="1" applyFill="1" applyBorder="1" applyAlignment="1">
      <alignment horizontal="right"/>
    </xf>
    <xf numFmtId="0" fontId="17" fillId="5" borderId="9" xfId="0" applyFont="1" applyFill="1" applyBorder="1" applyAlignment="1">
      <alignment horizontal="right"/>
    </xf>
    <xf numFmtId="0" fontId="17" fillId="5" borderId="23" xfId="0" applyFont="1" applyFill="1" applyBorder="1" applyAlignment="1">
      <alignment horizontal="right"/>
    </xf>
    <xf numFmtId="0" fontId="13" fillId="9" borderId="8" xfId="0" applyFont="1" applyFill="1" applyBorder="1" applyAlignment="1">
      <alignment horizontal="right"/>
    </xf>
    <xf numFmtId="0" fontId="12" fillId="7" borderId="8" xfId="0" applyFont="1" applyFill="1" applyBorder="1" applyAlignment="1">
      <alignment horizontal="right"/>
    </xf>
    <xf numFmtId="0" fontId="13" fillId="6" borderId="8" xfId="0" applyFont="1" applyFill="1" applyBorder="1" applyAlignment="1">
      <alignment horizontal="right"/>
    </xf>
    <xf numFmtId="0" fontId="12" fillId="6" borderId="8" xfId="0" applyFont="1" applyFill="1" applyBorder="1" applyAlignment="1">
      <alignment horizontal="right"/>
    </xf>
    <xf numFmtId="0" fontId="12" fillId="9" borderId="8" xfId="0" applyFont="1" applyFill="1" applyBorder="1" applyAlignment="1">
      <alignment horizontal="center"/>
    </xf>
    <xf numFmtId="0" fontId="12" fillId="8" borderId="8" xfId="0" applyFont="1" applyFill="1" applyBorder="1" applyAlignment="1">
      <alignment horizontal="right"/>
    </xf>
    <xf numFmtId="0" fontId="20" fillId="0" borderId="0" xfId="0" applyFont="1" applyAlignment="1">
      <alignment horizontal="center" vertical="center" wrapText="1"/>
    </xf>
    <xf numFmtId="0" fontId="28" fillId="0" borderId="0" xfId="0" applyFont="1"/>
    <xf numFmtId="0" fontId="4" fillId="9" borderId="8" xfId="0" applyFont="1" applyFill="1" applyBorder="1" applyAlignment="1"/>
    <xf numFmtId="0" fontId="0" fillId="9" borderId="8" xfId="0" applyFill="1" applyBorder="1" applyAlignment="1"/>
    <xf numFmtId="0" fontId="0" fillId="10" borderId="8" xfId="0" applyFill="1" applyBorder="1" applyAlignment="1"/>
    <xf numFmtId="0" fontId="0" fillId="8" borderId="8" xfId="0" applyFill="1" applyBorder="1" applyAlignment="1"/>
    <xf numFmtId="0" fontId="10" fillId="9" borderId="8" xfId="0" applyFont="1" applyFill="1" applyBorder="1" applyAlignment="1"/>
    <xf numFmtId="164" fontId="0" fillId="9" borderId="8" xfId="0" applyNumberFormat="1" applyFill="1" applyBorder="1" applyAlignment="1"/>
  </cellXfs>
  <cellStyles count="5">
    <cellStyle name="Comma" xfId="2" builtinId="3"/>
    <cellStyle name="Currency" xfId="1" builtinId="4"/>
    <cellStyle name="Hyperlink" xfId="4" builtinId="8"/>
    <cellStyle name="Normal" xfId="0" builtinId="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holland-my.sharepoint.com/personal/684223_student_inholland_nl/Documents/inkomstenbelasting_uitrekenen_Excel%20-%20Copy.xlsx" TargetMode="External"/><Relationship Id="rId1" Type="http://schemas.openxmlformats.org/officeDocument/2006/relationships/externalLinkPath" Target="/personal/684223_student_inholland_nl/Documents/inkomstenbelasting_uitrekenen_Excel%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2GbfltwiG0ul1jUyCyM30yEbSRNIigNNnmnCzCVB42LKB3khJg17Qa6BiP_cszL5" itemId="01PR2HJ5WO6GI6NYMRLFC2FSJMIUQGU4VZ">
      <xxl21:absoluteUrl r:id="rId2"/>
    </xxl21:alternateUrls>
    <sheetNames>
      <sheetName val="Particulier"/>
      <sheetName val="IB schijven"/>
      <sheetName val="heffingskorting"/>
      <sheetName val="arbeidskorting"/>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8394-32BA-4D54-BD05-7E106AFD9F8A}">
  <dimension ref="B2:T7"/>
  <sheetViews>
    <sheetView workbookViewId="0">
      <selection activeCell="H15" sqref="H15"/>
    </sheetView>
  </sheetViews>
  <sheetFormatPr defaultColWidth="11.42578125" defaultRowHeight="15"/>
  <cols>
    <col min="2" max="2" width="14.7109375" bestFit="1" customWidth="1"/>
    <col min="3" max="3" width="12.42578125" bestFit="1" customWidth="1"/>
  </cols>
  <sheetData>
    <row r="2" spans="2:20" ht="47.1">
      <c r="B2" s="121" t="s">
        <v>0</v>
      </c>
      <c r="C2" s="121"/>
      <c r="D2" s="121"/>
      <c r="E2" s="121"/>
      <c r="F2" s="121"/>
      <c r="G2" s="121"/>
      <c r="H2" s="121"/>
      <c r="I2" s="121"/>
      <c r="J2" s="121"/>
      <c r="K2" s="121"/>
      <c r="L2" s="121"/>
      <c r="M2" s="121"/>
      <c r="N2" s="121"/>
      <c r="O2" s="121"/>
      <c r="P2" s="121"/>
      <c r="Q2" s="121"/>
      <c r="R2" s="121"/>
      <c r="S2" s="121"/>
      <c r="T2" s="121"/>
    </row>
    <row r="3" spans="2:20" ht="47.1" customHeight="1">
      <c r="B3" s="122" t="s">
        <v>1</v>
      </c>
      <c r="C3" s="122"/>
      <c r="D3" s="122"/>
      <c r="E3" s="122"/>
      <c r="F3" s="122"/>
      <c r="G3" s="122"/>
      <c r="H3" s="122"/>
      <c r="I3" s="122"/>
      <c r="J3" s="122"/>
      <c r="K3" s="122"/>
      <c r="L3" s="122"/>
      <c r="M3" s="122"/>
      <c r="N3" s="122"/>
      <c r="O3" s="122"/>
      <c r="P3" s="122"/>
      <c r="Q3" s="122"/>
      <c r="R3" s="122"/>
      <c r="S3" s="122"/>
      <c r="T3" s="122"/>
    </row>
    <row r="4" spans="2:20" ht="47.1" customHeight="1">
      <c r="B4" s="122" t="s">
        <v>2</v>
      </c>
      <c r="C4" s="122"/>
      <c r="D4" s="122"/>
      <c r="E4" s="122"/>
      <c r="F4" s="122"/>
      <c r="G4" s="122"/>
      <c r="H4" s="122"/>
      <c r="I4" s="122"/>
      <c r="J4" s="122"/>
      <c r="K4" s="122"/>
      <c r="L4" s="122"/>
      <c r="M4" s="122"/>
      <c r="N4" s="122"/>
      <c r="O4" s="122"/>
      <c r="P4" s="122"/>
      <c r="Q4" s="122"/>
      <c r="R4" s="122"/>
      <c r="S4" s="122"/>
      <c r="T4" s="122"/>
    </row>
    <row r="5" spans="2:20" ht="47.1">
      <c r="B5" s="98"/>
      <c r="C5" s="98"/>
      <c r="D5" s="98"/>
      <c r="E5" s="98"/>
      <c r="F5" s="98"/>
      <c r="G5" s="98"/>
      <c r="H5" s="98"/>
      <c r="I5" s="98"/>
      <c r="J5" s="98"/>
      <c r="K5" s="98"/>
      <c r="L5" s="98"/>
      <c r="M5" s="98"/>
      <c r="N5" s="98"/>
      <c r="O5" s="98"/>
      <c r="P5" s="98"/>
      <c r="Q5" s="98"/>
      <c r="R5" s="98"/>
      <c r="S5" s="98"/>
      <c r="T5" s="98"/>
    </row>
    <row r="6" spans="2:20" ht="47.1">
      <c r="B6" s="98"/>
      <c r="C6" s="98"/>
      <c r="D6" s="98"/>
      <c r="E6" s="98"/>
      <c r="F6" s="98"/>
      <c r="G6" s="98"/>
      <c r="H6" s="98"/>
      <c r="I6" s="98"/>
      <c r="J6" s="98"/>
      <c r="K6" s="98"/>
      <c r="L6" s="98"/>
      <c r="M6" s="98"/>
      <c r="N6" s="98"/>
      <c r="O6" s="98"/>
      <c r="P6" s="98"/>
      <c r="Q6" s="98"/>
      <c r="R6" s="98"/>
      <c r="S6" s="98"/>
      <c r="T6" s="98"/>
    </row>
    <row r="7" spans="2:20" ht="47.1">
      <c r="B7" s="98"/>
      <c r="C7" s="98"/>
      <c r="D7" s="98"/>
      <c r="E7" s="98"/>
      <c r="F7" s="98"/>
      <c r="G7" s="98"/>
      <c r="H7" s="98"/>
      <c r="I7" s="98"/>
      <c r="J7" s="98"/>
      <c r="K7" s="98"/>
      <c r="L7" s="98"/>
      <c r="M7" s="98"/>
      <c r="N7" s="98"/>
      <c r="O7" s="98"/>
      <c r="P7" s="98"/>
      <c r="Q7" s="98"/>
      <c r="R7" s="98"/>
      <c r="S7" s="98"/>
      <c r="T7" s="98"/>
    </row>
  </sheetData>
  <mergeCells count="3">
    <mergeCell ref="B2:T2"/>
    <mergeCell ref="B3:T3"/>
    <mergeCell ref="B4:T4"/>
  </mergeCells>
  <hyperlinks>
    <hyperlink ref="B3:T3" location="'CBI-FBI Alleenstaand'!A1" display="Alleenstaand" xr:uid="{804F56FF-9D0B-44D5-B5B2-F5BDF99210E1}"/>
    <hyperlink ref="B4:T4" location="'CBI-FBI Fiscale Partners'!A1" display="Fiscale partners" xr:uid="{053494EF-4B1B-4038-97DE-F7B36940CF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FA484-7B13-4005-BF17-22571733F1BE}">
  <dimension ref="A1:M83"/>
  <sheetViews>
    <sheetView tabSelected="1" topLeftCell="A36" zoomScaleNormal="100" workbookViewId="0">
      <selection activeCell="H54" sqref="H54"/>
    </sheetView>
  </sheetViews>
  <sheetFormatPr defaultColWidth="11.42578125" defaultRowHeight="15"/>
  <cols>
    <col min="1" max="1" width="14.42578125" customWidth="1"/>
    <col min="2" max="2" width="13.85546875" customWidth="1"/>
    <col min="4" max="4" width="21.85546875" customWidth="1"/>
    <col min="5" max="5" width="16.85546875" style="23" customWidth="1"/>
    <col min="6" max="6" width="18.28515625" style="23" customWidth="1"/>
    <col min="11" max="11" width="23.7109375" customWidth="1"/>
    <col min="12" max="12" width="14.42578125" style="41" customWidth="1"/>
    <col min="13" max="13" width="16.85546875" style="42" customWidth="1"/>
  </cols>
  <sheetData>
    <row r="1" spans="1:13">
      <c r="A1" s="186" t="s">
        <v>3</v>
      </c>
      <c r="B1" s="186"/>
      <c r="C1" s="186"/>
      <c r="D1" s="186"/>
      <c r="E1" s="36"/>
      <c r="F1" s="36"/>
    </row>
    <row r="2" spans="1:13">
      <c r="A2" s="187" t="s">
        <v>4</v>
      </c>
      <c r="B2" s="187"/>
      <c r="C2" s="187"/>
      <c r="D2" s="187"/>
      <c r="E2" s="36"/>
      <c r="F2" s="36"/>
    </row>
    <row r="3" spans="1:13">
      <c r="A3" s="187" t="s">
        <v>5</v>
      </c>
      <c r="B3" s="187"/>
      <c r="C3" s="187"/>
      <c r="D3" s="187"/>
      <c r="E3" s="36"/>
      <c r="F3" s="36"/>
    </row>
    <row r="4" spans="1:13">
      <c r="A4" s="187" t="s">
        <v>6</v>
      </c>
      <c r="B4" s="187"/>
      <c r="C4" s="187"/>
      <c r="D4" s="187"/>
      <c r="E4" s="36"/>
      <c r="F4" s="36"/>
    </row>
    <row r="5" spans="1:13">
      <c r="A5" s="187" t="s">
        <v>7</v>
      </c>
      <c r="B5" s="187"/>
      <c r="C5" s="187"/>
      <c r="D5" s="187"/>
      <c r="E5" s="36"/>
      <c r="F5" s="36"/>
    </row>
    <row r="6" spans="1:13">
      <c r="A6" s="187" t="s">
        <v>8</v>
      </c>
      <c r="B6" s="187"/>
      <c r="C6" s="187"/>
      <c r="D6" s="187"/>
      <c r="E6" s="36"/>
      <c r="F6" s="36"/>
    </row>
    <row r="7" spans="1:13">
      <c r="A7" s="187" t="s">
        <v>9</v>
      </c>
      <c r="B7" s="187"/>
      <c r="C7" s="187"/>
      <c r="D7" s="187"/>
      <c r="E7" s="36"/>
      <c r="F7" s="36"/>
    </row>
    <row r="8" spans="1:13">
      <c r="A8" s="125" t="s">
        <v>10</v>
      </c>
      <c r="B8" s="126"/>
      <c r="C8" s="126"/>
      <c r="D8" s="127"/>
      <c r="E8" s="36"/>
      <c r="F8" s="36"/>
    </row>
    <row r="9" spans="1:13">
      <c r="A9" s="187" t="s">
        <v>11</v>
      </c>
      <c r="B9" s="187"/>
      <c r="C9" s="187"/>
      <c r="D9" s="187"/>
      <c r="E9" s="36"/>
      <c r="F9" s="36"/>
    </row>
    <row r="10" spans="1:13">
      <c r="A10" s="187" t="s">
        <v>12</v>
      </c>
      <c r="B10" s="187"/>
      <c r="C10" s="187"/>
      <c r="D10" s="187"/>
      <c r="E10" s="40"/>
      <c r="F10" s="36"/>
    </row>
    <row r="11" spans="1:13">
      <c r="A11" s="188" t="s">
        <v>13</v>
      </c>
      <c r="B11" s="188"/>
      <c r="C11" s="188"/>
      <c r="D11" s="188"/>
      <c r="E11" s="37"/>
      <c r="F11" s="37"/>
    </row>
    <row r="12" spans="1:13">
      <c r="A12" s="188" t="s">
        <v>14</v>
      </c>
      <c r="B12" s="188"/>
      <c r="C12" s="188"/>
      <c r="D12" s="188"/>
      <c r="E12" s="37"/>
      <c r="F12" s="37">
        <f>IF(F11&lt;= 12500, 0, IF(F11&lt;= 25000, F11* 0.001, IF(F11&lt;= 50000, F11* 0.002, IF(F11&lt;= 75000, F11* 0.0025, IF(F11&lt;= 1310000, F11* 0.0035, 4585 + ((F11- 1310000) * 0.0235))))))</f>
        <v>0</v>
      </c>
    </row>
    <row r="15" spans="1:13" ht="83.1" customHeight="1">
      <c r="E15" s="99" t="s">
        <v>15</v>
      </c>
      <c r="F15" s="113" t="s">
        <v>16</v>
      </c>
      <c r="L15"/>
      <c r="M15"/>
    </row>
    <row r="16" spans="1:13" ht="15" customHeight="1">
      <c r="A16" s="156" t="s">
        <v>17</v>
      </c>
      <c r="B16" s="156"/>
      <c r="C16" s="157" t="s">
        <v>18</v>
      </c>
      <c r="D16" s="158"/>
      <c r="E16" s="27"/>
      <c r="F16" s="101"/>
      <c r="L16"/>
      <c r="M16"/>
    </row>
    <row r="17" spans="1:13" ht="15" customHeight="1">
      <c r="A17" s="159" t="s">
        <v>19</v>
      </c>
      <c r="B17" s="160"/>
      <c r="C17" s="100"/>
      <c r="D17" s="102" t="s">
        <v>1</v>
      </c>
      <c r="E17" s="77"/>
      <c r="F17" s="103"/>
      <c r="L17"/>
      <c r="M17"/>
    </row>
    <row r="18" spans="1:13" ht="15" customHeight="1">
      <c r="A18" s="152" t="s">
        <v>20</v>
      </c>
      <c r="B18" s="151"/>
      <c r="C18" s="151"/>
      <c r="D18" s="153"/>
      <c r="E18" s="97"/>
      <c r="F18" s="103"/>
      <c r="L18"/>
      <c r="M18"/>
    </row>
    <row r="19" spans="1:13" ht="15" customHeight="1">
      <c r="A19" s="96" t="s">
        <v>21</v>
      </c>
      <c r="B19" s="96" t="s">
        <v>22</v>
      </c>
      <c r="C19" s="104" t="s">
        <v>23</v>
      </c>
      <c r="D19" s="105" t="s">
        <v>24</v>
      </c>
      <c r="E19" s="83"/>
      <c r="F19" s="103"/>
      <c r="L19"/>
      <c r="M19"/>
    </row>
    <row r="20" spans="1:13" ht="15" customHeight="1">
      <c r="A20" s="96">
        <v>1922</v>
      </c>
      <c r="B20" s="96">
        <v>11</v>
      </c>
      <c r="C20" s="100">
        <v>40</v>
      </c>
      <c r="D20" s="106">
        <f>IF(OR(ISBLANK(A20), ISBLANK(B20), ISBLANK(C20), A20=0, B20=0, C20=0), "", DATEDIF(DATE(A20,B20,C20), DATE(2024,12,31), "Y"))</f>
        <v>102</v>
      </c>
      <c r="E20" s="89" t="str">
        <f>IF(OR(D20="", D20=0), "Nog geen AOW", IF(D20&gt;= 67, "Bereikt AOW", IF(D20= 66, "AOW in 2024", "Nog geen AOW")))</f>
        <v>Bereikt AOW</v>
      </c>
      <c r="F20" s="107" t="str">
        <f>IF(E20="Bereikt AOW", IF(DATE(A20, B20, C20) &lt; DATE(1946, 1, 1), "Voor 1946", "Na 1946"), "")</f>
        <v>Voor 1946</v>
      </c>
      <c r="L20"/>
      <c r="M20"/>
    </row>
    <row r="21" spans="1:13">
      <c r="A21" s="154" t="s">
        <v>25</v>
      </c>
      <c r="B21" s="154"/>
      <c r="C21" s="154"/>
      <c r="D21" s="155"/>
      <c r="E21" s="29"/>
      <c r="F21" s="29"/>
      <c r="L21"/>
      <c r="M21"/>
    </row>
    <row r="22" spans="1:13">
      <c r="A22" s="151" t="s">
        <v>26</v>
      </c>
      <c r="B22" s="151"/>
      <c r="C22" s="151"/>
      <c r="D22" s="151"/>
      <c r="E22" s="29"/>
      <c r="F22" s="29"/>
      <c r="L22"/>
      <c r="M22"/>
    </row>
    <row r="23" spans="1:13">
      <c r="A23" s="151" t="s">
        <v>27</v>
      </c>
      <c r="B23" s="151"/>
      <c r="C23" s="151"/>
      <c r="D23" s="151"/>
      <c r="E23" s="29"/>
      <c r="F23" s="29">
        <f>E23</f>
        <v>0</v>
      </c>
      <c r="L23"/>
      <c r="M23"/>
    </row>
    <row r="24" spans="1:13">
      <c r="A24" s="151" t="s">
        <v>28</v>
      </c>
      <c r="B24" s="151"/>
      <c r="C24" s="151"/>
      <c r="D24" s="151"/>
      <c r="E24" s="29"/>
      <c r="F24" s="29"/>
      <c r="L24"/>
      <c r="M24"/>
    </row>
    <row r="25" spans="1:13">
      <c r="A25" s="151" t="s">
        <v>29</v>
      </c>
      <c r="B25" s="151"/>
      <c r="C25" s="151"/>
      <c r="D25" s="151"/>
      <c r="E25" s="29"/>
      <c r="F25" s="29"/>
      <c r="L25"/>
      <c r="M25"/>
    </row>
    <row r="26" spans="1:13">
      <c r="A26" s="151" t="s">
        <v>30</v>
      </c>
      <c r="B26" s="151"/>
      <c r="C26" s="151"/>
      <c r="D26" s="151"/>
      <c r="E26" s="29"/>
      <c r="F26" s="29"/>
      <c r="L26"/>
      <c r="M26"/>
    </row>
    <row r="27" spans="1:13">
      <c r="A27" s="151" t="s">
        <v>31</v>
      </c>
      <c r="B27" s="151"/>
      <c r="C27" s="151"/>
      <c r="D27" s="151"/>
      <c r="E27" s="29"/>
      <c r="F27" s="29"/>
      <c r="L27"/>
      <c r="M27"/>
    </row>
    <row r="28" spans="1:13">
      <c r="A28" s="151" t="s">
        <v>32</v>
      </c>
      <c r="B28" s="151"/>
      <c r="C28" s="151"/>
      <c r="D28" s="151"/>
      <c r="E28" s="44"/>
      <c r="F28" s="29"/>
      <c r="L28"/>
      <c r="M28"/>
    </row>
    <row r="29" spans="1:13">
      <c r="A29" s="151" t="s">
        <v>33</v>
      </c>
      <c r="B29" s="151"/>
      <c r="C29" s="151"/>
      <c r="D29" s="151"/>
      <c r="E29" s="44"/>
      <c r="F29" s="29"/>
      <c r="L29"/>
      <c r="M29"/>
    </row>
    <row r="30" spans="1:13">
      <c r="A30" s="151" t="s">
        <v>34</v>
      </c>
      <c r="B30" s="151"/>
      <c r="C30" s="151"/>
      <c r="D30" s="151"/>
      <c r="E30" s="44"/>
      <c r="F30" s="29"/>
      <c r="L30"/>
      <c r="M30"/>
    </row>
    <row r="31" spans="1:13" ht="14.25" customHeight="1">
      <c r="A31" s="151" t="s">
        <v>35</v>
      </c>
      <c r="B31" s="151"/>
      <c r="C31" s="151"/>
      <c r="D31" s="151"/>
      <c r="E31" s="95"/>
      <c r="F31" s="94">
        <f>IF(D17="Alleenstaand",
   IF(F11&lt;=12500, 0,
      IF(F11&lt;=25000, F11*0.001,
         IF(F11&lt;=50000, F11*0.002,
            IF(F11&lt;=75000, F11*0.0025,
               IF(F11&lt;=1310000, F11*0.0035,
                  4585 + ((F11 - 1310000) * 0.0235)
               )
            )
         )
      )
   ),
   IF(F11&lt;=12500, 0,
      IF(F11&lt;=25000, F11*0.001 / 2,
         IF(F11&lt;=50000, F11*0.002 / 2,
            IF(F11&lt;=75000, F11*0.0025 / 2,
               IF(F11&lt;=1310000, F11*0.0035 / 2,
                  (4585 + ((F11 - 1310000) * 0.0235)) / 2
               )
            )
         )
      )
   )
)</f>
        <v>0</v>
      </c>
      <c r="L31"/>
      <c r="M31"/>
    </row>
    <row r="32" spans="1:13">
      <c r="A32" s="151" t="s">
        <v>36</v>
      </c>
      <c r="B32" s="151"/>
      <c r="C32" s="151"/>
      <c r="D32" s="151"/>
      <c r="E32" s="44"/>
      <c r="F32" s="29"/>
      <c r="L32"/>
      <c r="M32"/>
    </row>
    <row r="33" spans="1:13">
      <c r="A33" s="151" t="s">
        <v>37</v>
      </c>
      <c r="B33" s="151"/>
      <c r="C33" s="151"/>
      <c r="D33" s="151"/>
      <c r="E33" s="44"/>
      <c r="F33" s="29">
        <f>IF(C17="Alleenstaand", E2, E2 / 2)</f>
        <v>0</v>
      </c>
      <c r="L33"/>
      <c r="M33"/>
    </row>
    <row r="34" spans="1:13">
      <c r="A34" s="149" t="s">
        <v>38</v>
      </c>
      <c r="B34" s="149"/>
      <c r="C34" s="149"/>
      <c r="D34" s="149"/>
      <c r="E34" s="29">
        <f>SUM(E22:E32)</f>
        <v>0</v>
      </c>
      <c r="F34" s="29">
        <f>SUM(F22:F32) - F33</f>
        <v>0</v>
      </c>
      <c r="L34"/>
      <c r="M34"/>
    </row>
    <row r="35" spans="1:13">
      <c r="A35" s="149" t="s">
        <v>39</v>
      </c>
      <c r="B35" s="149"/>
      <c r="C35" s="149"/>
      <c r="D35" s="149"/>
      <c r="E35" s="29">
        <v>8400</v>
      </c>
      <c r="F35" s="29"/>
      <c r="L35"/>
      <c r="M35"/>
    </row>
    <row r="36" spans="1:13">
      <c r="A36" s="150" t="s">
        <v>40</v>
      </c>
      <c r="B36" s="150"/>
      <c r="C36" s="150"/>
      <c r="D36" s="150"/>
      <c r="E36" s="29">
        <f>'Box 1 FP'!G32</f>
        <v>-3105</v>
      </c>
      <c r="F36" s="29"/>
      <c r="L36"/>
      <c r="M36"/>
    </row>
    <row r="37" spans="1:13">
      <c r="A37" s="143"/>
      <c r="B37" s="144"/>
      <c r="C37" s="144"/>
      <c r="D37" s="145"/>
      <c r="E37" s="30"/>
      <c r="F37" s="31"/>
      <c r="L37"/>
      <c r="M37"/>
    </row>
    <row r="38" spans="1:13">
      <c r="A38" s="148" t="s">
        <v>41</v>
      </c>
      <c r="B38" s="148"/>
      <c r="C38" s="148"/>
      <c r="D38" s="148"/>
      <c r="E38" s="32"/>
      <c r="F38" s="32"/>
      <c r="L38"/>
      <c r="M38"/>
    </row>
    <row r="39" spans="1:13">
      <c r="A39" s="140" t="s">
        <v>42</v>
      </c>
      <c r="B39" s="140"/>
      <c r="C39" s="140"/>
      <c r="D39" s="140"/>
      <c r="E39" s="32"/>
      <c r="F39" s="32"/>
      <c r="L39"/>
      <c r="M39"/>
    </row>
    <row r="40" spans="1:13">
      <c r="A40" s="140" t="s">
        <v>43</v>
      </c>
      <c r="B40" s="140"/>
      <c r="C40" s="140"/>
      <c r="D40" s="140"/>
      <c r="E40" s="32"/>
      <c r="F40" s="32"/>
      <c r="L40"/>
      <c r="M40"/>
    </row>
    <row r="41" spans="1:13">
      <c r="A41" s="140" t="s">
        <v>44</v>
      </c>
      <c r="B41" s="140"/>
      <c r="C41" s="140"/>
      <c r="D41" s="140"/>
      <c r="E41" s="32"/>
      <c r="F41" s="32"/>
      <c r="L41"/>
      <c r="M41"/>
    </row>
    <row r="42" spans="1:13">
      <c r="A42" s="135" t="s">
        <v>45</v>
      </c>
      <c r="B42" s="135"/>
      <c r="C42" s="135"/>
      <c r="D42" s="135"/>
      <c r="E42" s="32">
        <f>SUM(E39:E40)-E41</f>
        <v>0</v>
      </c>
      <c r="F42" s="32">
        <f>SUM(F39:F40)-F41</f>
        <v>0</v>
      </c>
      <c r="L42"/>
      <c r="M42"/>
    </row>
    <row r="43" spans="1:13">
      <c r="A43" s="135" t="s">
        <v>46</v>
      </c>
      <c r="B43" s="135"/>
      <c r="C43" s="135"/>
      <c r="D43" s="135"/>
      <c r="E43" s="32"/>
      <c r="F43" s="32"/>
      <c r="L43"/>
      <c r="M43"/>
    </row>
    <row r="44" spans="1:13">
      <c r="A44" s="135" t="s">
        <v>47</v>
      </c>
      <c r="B44" s="135"/>
      <c r="C44" s="135"/>
      <c r="D44" s="135"/>
      <c r="E44" s="32">
        <f>IF(E42&lt;=67000,E42*0.245,67000*0.245+(E42-67000)*0.33)</f>
        <v>0</v>
      </c>
      <c r="F44" s="32"/>
      <c r="L44"/>
      <c r="M44"/>
    </row>
    <row r="45" spans="1:13">
      <c r="A45" s="136"/>
      <c r="B45" s="137"/>
      <c r="C45" s="137"/>
      <c r="D45" s="138"/>
      <c r="E45" s="108"/>
      <c r="F45" s="108"/>
      <c r="L45"/>
      <c r="M45"/>
    </row>
    <row r="46" spans="1:13">
      <c r="A46" s="139" t="s">
        <v>48</v>
      </c>
      <c r="B46" s="139"/>
      <c r="C46" s="139"/>
      <c r="D46" s="139"/>
      <c r="E46" s="34"/>
      <c r="F46" s="34"/>
      <c r="L46"/>
      <c r="M46"/>
    </row>
    <row r="47" spans="1:13">
      <c r="A47" s="132" t="s">
        <v>49</v>
      </c>
      <c r="B47" s="133"/>
      <c r="C47" s="133"/>
      <c r="D47" s="134"/>
      <c r="E47" s="34"/>
      <c r="F47" s="34"/>
      <c r="L47"/>
      <c r="M47"/>
    </row>
    <row r="48" spans="1:13">
      <c r="A48" s="132" t="s">
        <v>50</v>
      </c>
      <c r="B48" s="133"/>
      <c r="C48" s="133"/>
      <c r="D48" s="134"/>
      <c r="E48" s="34"/>
      <c r="F48" s="34"/>
      <c r="L48"/>
      <c r="M48"/>
    </row>
    <row r="49" spans="1:13">
      <c r="A49" s="132" t="s">
        <v>51</v>
      </c>
      <c r="B49" s="133"/>
      <c r="C49" s="133"/>
      <c r="D49" s="134"/>
      <c r="E49" s="34"/>
      <c r="F49" s="34"/>
      <c r="L49"/>
      <c r="M49"/>
    </row>
    <row r="50" spans="1:13" ht="31.5" customHeight="1">
      <c r="A50" s="146" t="s">
        <v>52</v>
      </c>
      <c r="B50" s="133"/>
      <c r="C50" s="133"/>
      <c r="D50" s="134"/>
      <c r="E50" s="34"/>
      <c r="F50" s="34"/>
      <c r="L50"/>
      <c r="M50"/>
    </row>
    <row r="51" spans="1:13" ht="30.75" customHeight="1">
      <c r="A51" s="146" t="s">
        <v>53</v>
      </c>
      <c r="B51" s="133"/>
      <c r="C51" s="133"/>
      <c r="D51" s="134"/>
      <c r="E51" s="34"/>
      <c r="F51" s="34"/>
      <c r="L51"/>
      <c r="M51"/>
    </row>
    <row r="52" spans="1:13">
      <c r="A52" s="132" t="s">
        <v>54</v>
      </c>
      <c r="B52" s="133"/>
      <c r="C52" s="133"/>
      <c r="D52" s="134"/>
      <c r="E52" s="34"/>
      <c r="F52" s="34"/>
      <c r="L52"/>
      <c r="M52"/>
    </row>
    <row r="53" spans="1:13">
      <c r="A53" s="132" t="s">
        <v>49</v>
      </c>
      <c r="B53" s="133"/>
      <c r="C53" s="133"/>
      <c r="D53" s="134"/>
      <c r="E53" s="34"/>
      <c r="F53" s="34"/>
      <c r="L53"/>
      <c r="M53"/>
    </row>
    <row r="54" spans="1:13">
      <c r="A54" s="132" t="s">
        <v>50</v>
      </c>
      <c r="B54" s="133"/>
      <c r="C54" s="133"/>
      <c r="D54" s="134"/>
      <c r="E54" s="34"/>
      <c r="F54" s="34"/>
      <c r="L54"/>
      <c r="M54"/>
    </row>
    <row r="55" spans="1:13">
      <c r="A55" s="132" t="s">
        <v>55</v>
      </c>
      <c r="B55" s="133"/>
      <c r="C55" s="133"/>
      <c r="D55" s="134"/>
      <c r="E55" s="34"/>
      <c r="F55" s="34"/>
      <c r="L55"/>
      <c r="M55"/>
    </row>
    <row r="56" spans="1:13" ht="29.25" customHeight="1">
      <c r="A56" s="146" t="s">
        <v>56</v>
      </c>
      <c r="B56" s="133"/>
      <c r="C56" s="133"/>
      <c r="D56" s="134"/>
      <c r="E56" s="34"/>
      <c r="F56" s="34"/>
      <c r="L56"/>
      <c r="M56"/>
    </row>
    <row r="57" spans="1:13">
      <c r="A57" s="147" t="s">
        <v>57</v>
      </c>
      <c r="B57" s="147"/>
      <c r="C57" s="147"/>
      <c r="D57" s="147"/>
      <c r="E57" s="34">
        <f>SUM(E47:E48)</f>
        <v>0</v>
      </c>
      <c r="F57" s="34">
        <f>'Box 3'!F38</f>
        <v>0</v>
      </c>
      <c r="L57"/>
      <c r="M57"/>
    </row>
    <row r="58" spans="1:13">
      <c r="A58" s="142" t="s">
        <v>46</v>
      </c>
      <c r="B58" s="142"/>
      <c r="C58" s="142"/>
      <c r="D58" s="142"/>
      <c r="E58" s="34"/>
      <c r="F58" s="34"/>
      <c r="L58"/>
      <c r="M58"/>
    </row>
    <row r="59" spans="1:13">
      <c r="A59" s="142" t="s">
        <v>58</v>
      </c>
      <c r="B59" s="142"/>
      <c r="C59" s="142"/>
      <c r="D59" s="142"/>
      <c r="E59" s="34">
        <f>'Box 3'!F40</f>
        <v>0</v>
      </c>
      <c r="F59" s="34"/>
      <c r="L59"/>
      <c r="M59"/>
    </row>
    <row r="60" spans="1:13">
      <c r="A60" s="143"/>
      <c r="B60" s="144"/>
      <c r="C60" s="144"/>
      <c r="D60" s="145"/>
      <c r="E60" s="31"/>
      <c r="F60" s="31"/>
      <c r="L60"/>
      <c r="M60"/>
    </row>
    <row r="61" spans="1:13">
      <c r="A61" s="189" t="s">
        <v>59</v>
      </c>
      <c r="B61" s="189"/>
      <c r="C61" s="189"/>
      <c r="D61" s="189"/>
      <c r="E61" s="35">
        <f>E34+E42+E57</f>
        <v>0</v>
      </c>
      <c r="F61" s="35">
        <f>F34+F42+F57</f>
        <v>0</v>
      </c>
      <c r="L61"/>
      <c r="M61"/>
    </row>
    <row r="62" spans="1:13">
      <c r="A62" s="189" t="s">
        <v>60</v>
      </c>
      <c r="B62" s="189"/>
      <c r="C62" s="189"/>
      <c r="D62" s="189"/>
      <c r="E62" s="35">
        <f>E36+E44+E59</f>
        <v>-3105</v>
      </c>
      <c r="F62" s="35"/>
      <c r="L62"/>
      <c r="M62"/>
    </row>
    <row r="63" spans="1:13">
      <c r="A63" s="141" t="s">
        <v>61</v>
      </c>
      <c r="B63" s="141"/>
      <c r="C63" s="141"/>
      <c r="D63" s="141"/>
      <c r="E63" s="35">
        <f>'Box 1 A'!C10 + 'Box 1 A'!C11</f>
        <v>8926</v>
      </c>
      <c r="F63" s="35"/>
      <c r="L63"/>
      <c r="M63"/>
    </row>
    <row r="64" spans="1:13">
      <c r="A64" s="141" t="s">
        <v>62</v>
      </c>
      <c r="B64" s="141"/>
      <c r="C64" s="141"/>
      <c r="D64" s="141"/>
      <c r="E64" s="35">
        <f>SUM('Box 1 A'!E15:E18)</f>
        <v>1</v>
      </c>
      <c r="F64" s="35"/>
      <c r="L64"/>
      <c r="M64"/>
    </row>
    <row r="65" spans="1:13">
      <c r="E65"/>
      <c r="F65"/>
      <c r="L65"/>
      <c r="M65"/>
    </row>
    <row r="66" spans="1:13">
      <c r="A66" s="128" t="s">
        <v>63</v>
      </c>
      <c r="B66" s="128"/>
      <c r="C66" s="128"/>
      <c r="D66" s="128"/>
      <c r="E66" s="36">
        <f>(E61)-(E62-(E63+E64))</f>
        <v>12032</v>
      </c>
      <c r="F66" s="36"/>
      <c r="L66"/>
      <c r="M66"/>
    </row>
    <row r="67" spans="1:13">
      <c r="A67" s="129"/>
      <c r="B67" s="130"/>
      <c r="C67" s="130"/>
      <c r="D67" s="131"/>
      <c r="E67" s="36"/>
      <c r="F67" s="36"/>
      <c r="L67"/>
      <c r="M67"/>
    </row>
    <row r="68" spans="1:13">
      <c r="A68" s="124" t="s">
        <v>64</v>
      </c>
      <c r="B68" s="124"/>
      <c r="C68" s="124"/>
      <c r="D68" s="124"/>
      <c r="E68" s="36">
        <f>SUM(E2:E10)</f>
        <v>0</v>
      </c>
      <c r="F68" s="36"/>
      <c r="L68"/>
      <c r="M68"/>
    </row>
    <row r="69" spans="1:13">
      <c r="A69" s="123" t="s">
        <v>65</v>
      </c>
      <c r="B69" s="123"/>
      <c r="C69" s="123"/>
      <c r="D69" s="123"/>
      <c r="E69" s="114">
        <f>E66-(SUM(E2:E10))</f>
        <v>12032</v>
      </c>
      <c r="F69" s="36"/>
      <c r="L69"/>
      <c r="M69"/>
    </row>
    <row r="70" spans="1:13">
      <c r="L70"/>
      <c r="M70"/>
    </row>
    <row r="71" spans="1:13">
      <c r="L71"/>
      <c r="M71"/>
    </row>
    <row r="72" spans="1:13">
      <c r="L72"/>
      <c r="M72"/>
    </row>
    <row r="73" spans="1:13">
      <c r="L73"/>
      <c r="M73"/>
    </row>
    <row r="74" spans="1:13">
      <c r="L74"/>
      <c r="M74"/>
    </row>
    <row r="75" spans="1:13">
      <c r="L75"/>
      <c r="M75"/>
    </row>
    <row r="76" spans="1:13">
      <c r="L76"/>
      <c r="M76"/>
    </row>
    <row r="77" spans="1:13">
      <c r="L77"/>
      <c r="M77"/>
    </row>
    <row r="78" spans="1:13">
      <c r="L78"/>
      <c r="M78"/>
    </row>
    <row r="79" spans="1:13">
      <c r="L79"/>
      <c r="M79"/>
    </row>
    <row r="80" spans="1:13">
      <c r="L80"/>
      <c r="M80"/>
    </row>
    <row r="81" spans="12:13">
      <c r="L81"/>
      <c r="M81"/>
    </row>
    <row r="82" spans="12:13">
      <c r="L82"/>
      <c r="M82"/>
    </row>
    <row r="83" spans="12:13">
      <c r="L83"/>
      <c r="M83"/>
    </row>
  </sheetData>
  <mergeCells count="64">
    <mergeCell ref="A16:B16"/>
    <mergeCell ref="C16:D16"/>
    <mergeCell ref="A17:B17"/>
    <mergeCell ref="A23:D23"/>
    <mergeCell ref="A24:D24"/>
    <mergeCell ref="A25:D25"/>
    <mergeCell ref="A18:D18"/>
    <mergeCell ref="A21:D21"/>
    <mergeCell ref="A22:D22"/>
    <mergeCell ref="A29:D29"/>
    <mergeCell ref="A30:D30"/>
    <mergeCell ref="A31:D31"/>
    <mergeCell ref="A26:D26"/>
    <mergeCell ref="A27:D27"/>
    <mergeCell ref="A28:D28"/>
    <mergeCell ref="A35:D35"/>
    <mergeCell ref="A36:D36"/>
    <mergeCell ref="A37:D37"/>
    <mergeCell ref="A32:D32"/>
    <mergeCell ref="A33:D33"/>
    <mergeCell ref="A34:D34"/>
    <mergeCell ref="A42:D42"/>
    <mergeCell ref="A43:D43"/>
    <mergeCell ref="A38:D38"/>
    <mergeCell ref="A39:D39"/>
    <mergeCell ref="A40:D40"/>
    <mergeCell ref="A1:D1"/>
    <mergeCell ref="A62:D62"/>
    <mergeCell ref="A63:D63"/>
    <mergeCell ref="A64:D64"/>
    <mergeCell ref="A59:D59"/>
    <mergeCell ref="A60:D60"/>
    <mergeCell ref="A61:D61"/>
    <mergeCell ref="A56:D56"/>
    <mergeCell ref="A57:D57"/>
    <mergeCell ref="A58:D58"/>
    <mergeCell ref="A53:D53"/>
    <mergeCell ref="A54:D54"/>
    <mergeCell ref="A55:D55"/>
    <mergeCell ref="A50:D50"/>
    <mergeCell ref="A51:D51"/>
    <mergeCell ref="A52:D52"/>
    <mergeCell ref="A5:D5"/>
    <mergeCell ref="A6:D6"/>
    <mergeCell ref="A7:D7"/>
    <mergeCell ref="A2:D2"/>
    <mergeCell ref="A3:D3"/>
    <mergeCell ref="A4:D4"/>
    <mergeCell ref="A69:D69"/>
    <mergeCell ref="A11:D11"/>
    <mergeCell ref="A12:D12"/>
    <mergeCell ref="A68:D68"/>
    <mergeCell ref="A8:D8"/>
    <mergeCell ref="A9:D9"/>
    <mergeCell ref="A10:D10"/>
    <mergeCell ref="A66:D66"/>
    <mergeCell ref="A67:D67"/>
    <mergeCell ref="A47:D47"/>
    <mergeCell ref="A48:D48"/>
    <mergeCell ref="A49:D49"/>
    <mergeCell ref="A44:D44"/>
    <mergeCell ref="A45:D45"/>
    <mergeCell ref="A46:D46"/>
    <mergeCell ref="A41:D41"/>
  </mergeCells>
  <dataValidations count="1">
    <dataValidation type="list" allowBlank="1" showInputMessage="1" showErrorMessage="1" sqref="D17" xr:uid="{F88FE322-CA7F-47AC-BAF2-6CD29F468CA7}">
      <formula1>"Alleenstaand,Fiscale partners"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C09D-D4A6-F545-AB8B-9BC846A681EB}">
  <dimension ref="A1:M81"/>
  <sheetViews>
    <sheetView topLeftCell="A15" zoomScaleNormal="100" workbookViewId="0">
      <selection activeCell="E35" sqref="E35"/>
    </sheetView>
  </sheetViews>
  <sheetFormatPr defaultColWidth="11.42578125" defaultRowHeight="15"/>
  <cols>
    <col min="1" max="1" width="14.42578125" customWidth="1"/>
    <col min="2" max="2" width="13.85546875" customWidth="1"/>
    <col min="4" max="4" width="21.85546875" customWidth="1"/>
    <col min="5" max="5" width="16.85546875" style="23" customWidth="1"/>
    <col min="6" max="6" width="18.28515625" style="23" customWidth="1"/>
    <col min="11" max="11" width="23.7109375" customWidth="1"/>
    <col min="12" max="12" width="14.42578125" style="41" customWidth="1"/>
    <col min="13" max="13" width="16.85546875" style="42" customWidth="1"/>
  </cols>
  <sheetData>
    <row r="1" spans="1:13">
      <c r="A1" s="190" t="s">
        <v>66</v>
      </c>
      <c r="B1" s="190"/>
      <c r="C1" s="190"/>
      <c r="D1" s="190"/>
      <c r="E1" s="36"/>
      <c r="F1" s="36"/>
    </row>
    <row r="2" spans="1:13">
      <c r="A2" s="187" t="s">
        <v>4</v>
      </c>
      <c r="B2" s="187"/>
      <c r="C2" s="187"/>
      <c r="D2" s="187"/>
      <c r="E2" s="36"/>
      <c r="F2" s="36"/>
    </row>
    <row r="3" spans="1:13">
      <c r="A3" s="187" t="s">
        <v>5</v>
      </c>
      <c r="B3" s="187"/>
      <c r="C3" s="187"/>
      <c r="D3" s="187"/>
      <c r="E3" s="36"/>
      <c r="F3" s="36"/>
    </row>
    <row r="4" spans="1:13">
      <c r="A4" s="187" t="s">
        <v>6</v>
      </c>
      <c r="B4" s="187"/>
      <c r="C4" s="187"/>
      <c r="D4" s="187"/>
      <c r="E4" s="36"/>
      <c r="F4" s="36"/>
    </row>
    <row r="5" spans="1:13">
      <c r="A5" s="187" t="s">
        <v>7</v>
      </c>
      <c r="B5" s="187"/>
      <c r="C5" s="187"/>
      <c r="D5" s="187"/>
      <c r="E5" s="36"/>
      <c r="F5" s="36"/>
    </row>
    <row r="6" spans="1:13">
      <c r="A6" s="187" t="s">
        <v>8</v>
      </c>
      <c r="B6" s="187"/>
      <c r="C6" s="187"/>
      <c r="D6" s="187"/>
      <c r="E6" s="36"/>
      <c r="F6" s="36"/>
    </row>
    <row r="7" spans="1:13">
      <c r="A7" s="191" t="s">
        <v>67</v>
      </c>
      <c r="B7" s="187"/>
      <c r="C7" s="187"/>
      <c r="D7" s="187"/>
      <c r="E7" s="36"/>
      <c r="F7" s="36"/>
    </row>
    <row r="8" spans="1:13">
      <c r="A8" s="125" t="s">
        <v>10</v>
      </c>
      <c r="B8" s="126"/>
      <c r="C8" s="126"/>
      <c r="D8" s="127"/>
      <c r="E8" s="36"/>
      <c r="F8" s="36"/>
    </row>
    <row r="9" spans="1:13">
      <c r="A9" s="187" t="s">
        <v>11</v>
      </c>
      <c r="B9" s="187"/>
      <c r="C9" s="187"/>
      <c r="D9" s="187"/>
      <c r="E9" s="36"/>
      <c r="F9" s="36"/>
    </row>
    <row r="10" spans="1:13">
      <c r="A10" s="187" t="s">
        <v>12</v>
      </c>
      <c r="B10" s="187"/>
      <c r="C10" s="187"/>
      <c r="D10" s="187"/>
      <c r="E10" s="40"/>
      <c r="F10" s="36"/>
    </row>
    <row r="11" spans="1:13">
      <c r="A11" s="188" t="s">
        <v>13</v>
      </c>
      <c r="B11" s="188"/>
      <c r="C11" s="188"/>
      <c r="D11" s="188"/>
      <c r="E11" s="37"/>
      <c r="F11" s="37"/>
    </row>
    <row r="12" spans="1:13">
      <c r="A12" s="188" t="s">
        <v>14</v>
      </c>
      <c r="B12" s="188"/>
      <c r="C12" s="188"/>
      <c r="D12" s="188"/>
      <c r="E12" s="37"/>
      <c r="F12" s="37">
        <f>IF(F11&lt;= 12500, 0, IF(F11&lt;= 25000, F11* 0.001, IF(F11&lt;= 50000, F11* 0.002, IF(F11&lt;= 75000, F11* 0.0025, IF(F11&lt;= 1310000, F11* 0.0035, 4585 + ((F11- 1310000) * 0.0235))))))</f>
        <v>0</v>
      </c>
    </row>
    <row r="15" spans="1:13" ht="83.1" customHeight="1">
      <c r="E15" s="26" t="s">
        <v>15</v>
      </c>
      <c r="F15" s="111" t="s">
        <v>16</v>
      </c>
      <c r="L15" s="38" t="s">
        <v>15</v>
      </c>
      <c r="M15" s="112" t="s">
        <v>16</v>
      </c>
    </row>
    <row r="16" spans="1:13" ht="15" customHeight="1">
      <c r="A16" s="171" t="s">
        <v>17</v>
      </c>
      <c r="B16" s="171"/>
      <c r="C16" s="174" t="s">
        <v>18</v>
      </c>
      <c r="D16" s="175"/>
      <c r="E16" s="27"/>
      <c r="F16" s="110"/>
      <c r="H16" s="171" t="s">
        <v>68</v>
      </c>
      <c r="I16" s="171"/>
      <c r="J16" s="174" t="s">
        <v>69</v>
      </c>
      <c r="K16" s="175"/>
      <c r="L16" s="27"/>
      <c r="M16" s="28"/>
    </row>
    <row r="17" spans="1:13" ht="15" customHeight="1">
      <c r="A17" s="159" t="s">
        <v>19</v>
      </c>
      <c r="B17" s="160"/>
      <c r="C17" s="75"/>
      <c r="D17" s="93" t="s">
        <v>70</v>
      </c>
      <c r="E17" s="77"/>
      <c r="F17" s="78"/>
      <c r="H17" s="159" t="s">
        <v>19</v>
      </c>
      <c r="I17" s="160"/>
      <c r="J17" s="176" t="s">
        <v>70</v>
      </c>
      <c r="K17" s="177"/>
      <c r="L17" s="77"/>
      <c r="M17" s="78"/>
    </row>
    <row r="18" spans="1:13" ht="15" customHeight="1">
      <c r="A18" s="170" t="s">
        <v>20</v>
      </c>
      <c r="B18" s="151"/>
      <c r="C18" s="151"/>
      <c r="D18" s="153"/>
      <c r="E18" s="77"/>
      <c r="F18" s="78"/>
      <c r="H18" s="170" t="s">
        <v>20</v>
      </c>
      <c r="I18" s="151"/>
      <c r="J18" s="151"/>
      <c r="K18" s="153"/>
      <c r="L18" s="97"/>
      <c r="M18" s="78"/>
    </row>
    <row r="19" spans="1:13" ht="15" customHeight="1">
      <c r="A19" s="76" t="s">
        <v>21</v>
      </c>
      <c r="B19" s="76" t="s">
        <v>22</v>
      </c>
      <c r="C19" s="80" t="s">
        <v>23</v>
      </c>
      <c r="D19" s="81" t="s">
        <v>24</v>
      </c>
      <c r="E19" s="83"/>
      <c r="F19" s="78"/>
      <c r="H19" s="76" t="s">
        <v>21</v>
      </c>
      <c r="I19" s="76" t="s">
        <v>22</v>
      </c>
      <c r="J19" s="75" t="s">
        <v>23</v>
      </c>
      <c r="K19" s="88" t="s">
        <v>24</v>
      </c>
      <c r="L19" s="85"/>
      <c r="M19" s="78"/>
    </row>
    <row r="20" spans="1:13" ht="15" customHeight="1">
      <c r="A20" s="76"/>
      <c r="B20" s="76"/>
      <c r="C20" s="75"/>
      <c r="D20" s="82" t="str">
        <f>IF(OR(ISBLANK(A20), ISBLANK(B20), ISBLANK(C20), A20=0, B20=0, C20=0), "", DATEDIF(DATE(A20,B20,C20), DATE(2024,12,31), "Y"))</f>
        <v/>
      </c>
      <c r="E20" s="89" t="str">
        <f>IF(OR(D20="", D20=0), "Nog geen AOW", IF(D20&gt;= 67, "Bereikt AOW", IF(D20= 66, "AOW in 2024", "Nog geen AOW")))</f>
        <v>Nog geen AOW</v>
      </c>
      <c r="F20" s="86" t="str">
        <f>IF(E20="Bereikt AOW", IF(DATE(A20, B20, C20) &lt; DATE(1946, 1, 1), "Voor 1946", "Na 1946"), "")</f>
        <v/>
      </c>
      <c r="H20" s="76"/>
      <c r="I20" s="76"/>
      <c r="J20" s="75"/>
      <c r="K20" s="82" t="str">
        <f>IF(OR(ISBLANK(H20), ISBLANK(I20), ISBLANK(J20), H20=0, I20=0, J20=0), "", DATEDIF(DATE(H20,I20,J20), DATE(2024,12,31), "Y"))</f>
        <v/>
      </c>
      <c r="L20" s="90" t="str">
        <f>IF(OR(K20="", K20=0), "Nog geen AOW", IF(K20&gt;= 67, "Bereikt AOW", IF(K20= 66, "AOW in 2024", "Nog geen AOW")))</f>
        <v>Nog geen AOW</v>
      </c>
      <c r="M20" s="87" t="str">
        <f>IF(L20="Bereikt AOW", IF(DATE(H20, I20, J20) &lt; DATE(1946, 1, 1), "Voor 1946", "Na 1946"), "")</f>
        <v/>
      </c>
    </row>
    <row r="21" spans="1:13">
      <c r="A21" s="172" t="s">
        <v>25</v>
      </c>
      <c r="B21" s="172"/>
      <c r="C21" s="172"/>
      <c r="D21" s="173"/>
      <c r="E21" s="29"/>
      <c r="F21" s="29"/>
      <c r="H21" s="172" t="s">
        <v>25</v>
      </c>
      <c r="I21" s="172"/>
      <c r="J21" s="172"/>
      <c r="K21" s="173"/>
      <c r="L21" s="79"/>
      <c r="M21" s="29"/>
    </row>
    <row r="22" spans="1:13">
      <c r="A22" s="151" t="s">
        <v>26</v>
      </c>
      <c r="B22" s="151"/>
      <c r="C22" s="151"/>
      <c r="D22" s="151"/>
      <c r="E22" s="29"/>
      <c r="F22" s="29"/>
      <c r="H22" s="151" t="s">
        <v>26</v>
      </c>
      <c r="I22" s="151"/>
      <c r="J22" s="151"/>
      <c r="K22" s="151"/>
      <c r="L22" s="29"/>
      <c r="M22" s="29"/>
    </row>
    <row r="23" spans="1:13">
      <c r="A23" s="151" t="s">
        <v>27</v>
      </c>
      <c r="B23" s="151"/>
      <c r="C23" s="151"/>
      <c r="D23" s="151"/>
      <c r="E23" s="29"/>
      <c r="F23" s="29">
        <f>E23</f>
        <v>0</v>
      </c>
      <c r="H23" s="151" t="s">
        <v>27</v>
      </c>
      <c r="I23" s="151"/>
      <c r="J23" s="151"/>
      <c r="K23" s="151"/>
      <c r="L23" s="29"/>
      <c r="M23" s="29">
        <f>L23</f>
        <v>0</v>
      </c>
    </row>
    <row r="24" spans="1:13">
      <c r="A24" s="151" t="s">
        <v>28</v>
      </c>
      <c r="B24" s="151"/>
      <c r="C24" s="151"/>
      <c r="D24" s="151"/>
      <c r="E24" s="29"/>
      <c r="F24" s="29"/>
      <c r="H24" s="151" t="s">
        <v>28</v>
      </c>
      <c r="I24" s="151"/>
      <c r="J24" s="151"/>
      <c r="K24" s="151"/>
      <c r="L24" s="29"/>
      <c r="M24" s="29"/>
    </row>
    <row r="25" spans="1:13">
      <c r="A25" s="151" t="s">
        <v>29</v>
      </c>
      <c r="B25" s="151"/>
      <c r="C25" s="151"/>
      <c r="D25" s="151"/>
      <c r="E25" s="29"/>
      <c r="F25" s="29"/>
      <c r="H25" s="151" t="s">
        <v>29</v>
      </c>
      <c r="I25" s="151"/>
      <c r="J25" s="151"/>
      <c r="K25" s="151"/>
      <c r="L25" s="29"/>
      <c r="M25" s="29"/>
    </row>
    <row r="26" spans="1:13">
      <c r="A26" s="151" t="s">
        <v>30</v>
      </c>
      <c r="B26" s="151"/>
      <c r="C26" s="151"/>
      <c r="D26" s="151"/>
      <c r="E26" s="29"/>
      <c r="F26" s="29"/>
      <c r="H26" s="151" t="s">
        <v>30</v>
      </c>
      <c r="I26" s="151"/>
      <c r="J26" s="151"/>
      <c r="K26" s="151"/>
      <c r="L26" s="29"/>
      <c r="M26" s="29"/>
    </row>
    <row r="27" spans="1:13">
      <c r="A27" s="151" t="s">
        <v>31</v>
      </c>
      <c r="B27" s="151"/>
      <c r="C27" s="151"/>
      <c r="D27" s="151"/>
      <c r="E27" s="29"/>
      <c r="F27" s="29"/>
      <c r="H27" s="151" t="s">
        <v>31</v>
      </c>
      <c r="I27" s="151"/>
      <c r="J27" s="151"/>
      <c r="K27" s="151"/>
      <c r="L27" s="29"/>
      <c r="M27" s="29"/>
    </row>
    <row r="28" spans="1:13">
      <c r="A28" s="151" t="s">
        <v>32</v>
      </c>
      <c r="B28" s="151"/>
      <c r="C28" s="151"/>
      <c r="D28" s="151"/>
      <c r="E28" s="44"/>
      <c r="F28" s="29"/>
      <c r="H28" s="151" t="s">
        <v>32</v>
      </c>
      <c r="I28" s="151"/>
      <c r="J28" s="151"/>
      <c r="K28" s="151"/>
      <c r="L28" s="29"/>
      <c r="M28" s="29"/>
    </row>
    <row r="29" spans="1:13">
      <c r="A29" s="151" t="s">
        <v>33</v>
      </c>
      <c r="B29" s="151"/>
      <c r="C29" s="151"/>
      <c r="D29" s="151"/>
      <c r="E29" s="44"/>
      <c r="F29" s="29"/>
      <c r="H29" s="151" t="s">
        <v>33</v>
      </c>
      <c r="I29" s="151"/>
      <c r="J29" s="151"/>
      <c r="K29" s="151"/>
      <c r="L29" s="29"/>
      <c r="M29" s="29"/>
    </row>
    <row r="30" spans="1:13">
      <c r="A30" s="151" t="s">
        <v>34</v>
      </c>
      <c r="B30" s="151"/>
      <c r="C30" s="151"/>
      <c r="D30" s="151"/>
      <c r="E30" s="44"/>
      <c r="F30" s="29"/>
      <c r="H30" s="151" t="s">
        <v>34</v>
      </c>
      <c r="I30" s="151"/>
      <c r="J30" s="151"/>
      <c r="K30" s="151"/>
      <c r="L30" s="29"/>
      <c r="M30" s="29"/>
    </row>
    <row r="31" spans="1:13" ht="14.25" customHeight="1">
      <c r="A31" s="151" t="s">
        <v>35</v>
      </c>
      <c r="B31" s="151"/>
      <c r="C31" s="151"/>
      <c r="D31" s="151"/>
      <c r="E31" s="95"/>
      <c r="F31" s="94">
        <f>IF(D17="Alleenstaand",
   IF(F11&lt;=12500, 0,
      IF(F11&lt;=25000, F11*0.001,
         IF(F11&lt;=50000, F11*0.002,
            IF(F11&lt;=75000, F11*0.0025,
               IF(F11&lt;=1310000, F11*0.0035,
                  4585 + ((F11 - 1310000) * 0.0235)
               )
            )
         )
      )
   ),
   IF(F11&lt;=12500, 0,
      IF(F11&lt;=25000, F11*0.001 / 2,
         IF(F11&lt;=50000, F11*0.002 / 2,
            IF(F11&lt;=75000, F11*0.0025 / 2,
               IF(F11&lt;=1310000, F11*0.0035 / 2,
                  (4585 + ((F11 - 1310000) * 0.0235)) / 2
               )
            )
         )
      )
   )
)</f>
        <v>0</v>
      </c>
      <c r="H31" s="151" t="s">
        <v>35</v>
      </c>
      <c r="I31" s="151"/>
      <c r="J31" s="151"/>
      <c r="K31" s="151"/>
      <c r="L31" s="27"/>
      <c r="M31" s="29">
        <f>F12/2</f>
        <v>0</v>
      </c>
    </row>
    <row r="32" spans="1:13">
      <c r="A32" s="151" t="s">
        <v>36</v>
      </c>
      <c r="B32" s="151"/>
      <c r="C32" s="151"/>
      <c r="D32" s="151"/>
      <c r="E32" s="44"/>
      <c r="F32" s="29"/>
      <c r="H32" s="151" t="s">
        <v>36</v>
      </c>
      <c r="I32" s="151"/>
      <c r="J32" s="151"/>
      <c r="K32" s="151"/>
      <c r="L32" s="29"/>
      <c r="M32" s="29"/>
    </row>
    <row r="33" spans="1:13">
      <c r="A33" s="151" t="s">
        <v>37</v>
      </c>
      <c r="B33" s="151"/>
      <c r="C33" s="151"/>
      <c r="D33" s="151"/>
      <c r="E33" s="44"/>
      <c r="F33" s="29">
        <f>IF(C17="Alleenstaand", E2, E2 / 2)</f>
        <v>0</v>
      </c>
      <c r="H33" s="151" t="s">
        <v>4</v>
      </c>
      <c r="I33" s="151"/>
      <c r="J33" s="151"/>
      <c r="K33" s="151"/>
      <c r="L33" s="29"/>
      <c r="M33" s="29">
        <f>IF(C17="Alleenstaand", E2, E2 / 2)</f>
        <v>0</v>
      </c>
    </row>
    <row r="34" spans="1:13">
      <c r="A34" s="168" t="s">
        <v>38</v>
      </c>
      <c r="B34" s="168"/>
      <c r="C34" s="168"/>
      <c r="D34" s="168"/>
      <c r="E34" s="29">
        <f>SUM(E22:E32)</f>
        <v>0</v>
      </c>
      <c r="F34" s="29">
        <f>SUM(F22:F32) - F33</f>
        <v>0</v>
      </c>
      <c r="H34" s="169" t="s">
        <v>38</v>
      </c>
      <c r="I34" s="169"/>
      <c r="J34" s="169"/>
      <c r="K34" s="169"/>
      <c r="L34" s="29">
        <f>SUM(L22:L32)</f>
        <v>0</v>
      </c>
      <c r="M34" s="29">
        <f>SUM(M22:M32) - M33</f>
        <v>0</v>
      </c>
    </row>
    <row r="35" spans="1:13">
      <c r="A35" s="168" t="s">
        <v>39</v>
      </c>
      <c r="B35" s="168"/>
      <c r="C35" s="168"/>
      <c r="D35" s="168"/>
      <c r="E35" s="29">
        <v>8400</v>
      </c>
      <c r="F35" s="29"/>
      <c r="H35" s="149" t="s">
        <v>39</v>
      </c>
      <c r="I35" s="149"/>
      <c r="J35" s="149"/>
      <c r="K35" s="149"/>
      <c r="L35" s="29"/>
      <c r="M35" s="29"/>
    </row>
    <row r="36" spans="1:13">
      <c r="A36" s="161" t="s">
        <v>40</v>
      </c>
      <c r="B36" s="161"/>
      <c r="C36" s="161"/>
      <c r="D36" s="161"/>
      <c r="E36" s="29">
        <f>'Box 1 FP'!G32</f>
        <v>-3105</v>
      </c>
      <c r="F36" s="29"/>
      <c r="H36" s="150" t="s">
        <v>40</v>
      </c>
      <c r="I36" s="150"/>
      <c r="J36" s="150"/>
      <c r="K36" s="150"/>
      <c r="L36" s="29">
        <f>'Box 1 FP'!G61</f>
        <v>0</v>
      </c>
      <c r="M36" s="29"/>
    </row>
    <row r="37" spans="1:13">
      <c r="A37" s="143"/>
      <c r="B37" s="144"/>
      <c r="C37" s="144"/>
      <c r="D37" s="145"/>
      <c r="E37" s="30"/>
      <c r="F37" s="31"/>
      <c r="H37" s="143"/>
      <c r="I37" s="144"/>
      <c r="J37" s="144"/>
      <c r="K37" s="145"/>
      <c r="L37" s="30"/>
      <c r="M37" s="31"/>
    </row>
    <row r="38" spans="1:13">
      <c r="A38" s="162" t="s">
        <v>41</v>
      </c>
      <c r="B38" s="162"/>
      <c r="C38" s="162"/>
      <c r="D38" s="162"/>
      <c r="E38" s="32"/>
      <c r="F38" s="32"/>
      <c r="H38" s="148" t="s">
        <v>41</v>
      </c>
      <c r="I38" s="148"/>
      <c r="J38" s="148"/>
      <c r="K38" s="148"/>
      <c r="L38" s="32"/>
      <c r="M38" s="32"/>
    </row>
    <row r="39" spans="1:13">
      <c r="A39" s="163" t="s">
        <v>42</v>
      </c>
      <c r="B39" s="163"/>
      <c r="C39" s="163"/>
      <c r="D39" s="163"/>
      <c r="E39" s="32"/>
      <c r="F39" s="32"/>
      <c r="H39" s="140" t="s">
        <v>42</v>
      </c>
      <c r="I39" s="140"/>
      <c r="J39" s="140"/>
      <c r="K39" s="140"/>
      <c r="L39" s="32"/>
      <c r="M39" s="32"/>
    </row>
    <row r="40" spans="1:13">
      <c r="A40" s="163" t="s">
        <v>43</v>
      </c>
      <c r="B40" s="163"/>
      <c r="C40" s="163"/>
      <c r="D40" s="163"/>
      <c r="E40" s="32"/>
      <c r="F40" s="32"/>
      <c r="H40" s="140" t="s">
        <v>43</v>
      </c>
      <c r="I40" s="140"/>
      <c r="J40" s="140"/>
      <c r="K40" s="140"/>
      <c r="L40" s="32"/>
      <c r="M40" s="32"/>
    </row>
    <row r="41" spans="1:13">
      <c r="A41" s="163" t="s">
        <v>44</v>
      </c>
      <c r="B41" s="163"/>
      <c r="C41" s="163"/>
      <c r="D41" s="163"/>
      <c r="E41" s="32"/>
      <c r="F41" s="32"/>
      <c r="H41" s="140" t="s">
        <v>44</v>
      </c>
      <c r="I41" s="140"/>
      <c r="J41" s="140"/>
      <c r="K41" s="140"/>
      <c r="L41" s="32"/>
      <c r="M41" s="32"/>
    </row>
    <row r="42" spans="1:13">
      <c r="A42" s="179" t="s">
        <v>45</v>
      </c>
      <c r="B42" s="179"/>
      <c r="C42" s="179"/>
      <c r="D42" s="179"/>
      <c r="E42" s="32">
        <f>SUM(E39:E40)-E41</f>
        <v>0</v>
      </c>
      <c r="F42" s="32">
        <f>SUM(F39:F40)-F41</f>
        <v>0</v>
      </c>
      <c r="H42" s="135" t="s">
        <v>45</v>
      </c>
      <c r="I42" s="135"/>
      <c r="J42" s="135"/>
      <c r="K42" s="135"/>
      <c r="L42" s="32">
        <f>SUM(L39:L40)-L41</f>
        <v>0</v>
      </c>
      <c r="M42" s="32">
        <f>SUM(M39:M40)-M41</f>
        <v>0</v>
      </c>
    </row>
    <row r="43" spans="1:13">
      <c r="A43" s="179" t="s">
        <v>46</v>
      </c>
      <c r="B43" s="179"/>
      <c r="C43" s="179"/>
      <c r="D43" s="179"/>
      <c r="E43" s="32"/>
      <c r="F43" s="32"/>
      <c r="H43" s="135" t="s">
        <v>46</v>
      </c>
      <c r="I43" s="135"/>
      <c r="J43" s="135"/>
      <c r="K43" s="135"/>
      <c r="L43" s="32"/>
      <c r="M43" s="32"/>
    </row>
    <row r="44" spans="1:13">
      <c r="A44" s="179" t="s">
        <v>47</v>
      </c>
      <c r="B44" s="179"/>
      <c r="C44" s="179"/>
      <c r="D44" s="179"/>
      <c r="E44" s="32">
        <f>IF(E42&lt;=67000,E42*0.245,67000*0.245+(E42-67000)*0.33)</f>
        <v>0</v>
      </c>
      <c r="F44" s="32"/>
      <c r="H44" s="135" t="s">
        <v>47</v>
      </c>
      <c r="I44" s="135"/>
      <c r="J44" s="135"/>
      <c r="K44" s="135"/>
      <c r="L44" s="32">
        <f>IF(L42&lt;=67000,L42*0.245,67000*0.245+(L42-67000)*0.33)</f>
        <v>0</v>
      </c>
      <c r="M44" s="32"/>
    </row>
    <row r="45" spans="1:13">
      <c r="A45" s="136"/>
      <c r="B45" s="137"/>
      <c r="C45" s="137"/>
      <c r="D45" s="138"/>
      <c r="E45" s="108"/>
      <c r="F45" s="108"/>
      <c r="H45" s="136"/>
      <c r="I45" s="137"/>
      <c r="J45" s="137"/>
      <c r="K45" s="138"/>
      <c r="L45" s="108"/>
      <c r="M45" s="108"/>
    </row>
    <row r="46" spans="1:13">
      <c r="A46" s="180" t="s">
        <v>48</v>
      </c>
      <c r="B46" s="180"/>
      <c r="C46" s="180"/>
      <c r="D46" s="180"/>
      <c r="E46" s="34"/>
      <c r="F46" s="34"/>
      <c r="L46"/>
      <c r="M46"/>
    </row>
    <row r="47" spans="1:13">
      <c r="A47" s="164" t="s">
        <v>49</v>
      </c>
      <c r="B47" s="165"/>
      <c r="C47" s="165"/>
      <c r="D47" s="166"/>
      <c r="E47" s="34"/>
      <c r="F47" s="34"/>
      <c r="L47"/>
      <c r="M47"/>
    </row>
    <row r="48" spans="1:13">
      <c r="A48" s="164" t="s">
        <v>50</v>
      </c>
      <c r="B48" s="165"/>
      <c r="C48" s="165"/>
      <c r="D48" s="166"/>
      <c r="E48" s="34"/>
      <c r="F48" s="34"/>
      <c r="L48"/>
      <c r="M48"/>
    </row>
    <row r="49" spans="1:13">
      <c r="A49" s="164" t="s">
        <v>51</v>
      </c>
      <c r="B49" s="165"/>
      <c r="C49" s="165"/>
      <c r="D49" s="166"/>
      <c r="E49" s="34"/>
      <c r="F49" s="34"/>
      <c r="L49"/>
      <c r="M49"/>
    </row>
    <row r="50" spans="1:13" ht="31.5" customHeight="1">
      <c r="A50" s="167" t="s">
        <v>52</v>
      </c>
      <c r="B50" s="165"/>
      <c r="C50" s="165"/>
      <c r="D50" s="166"/>
      <c r="E50" s="34"/>
      <c r="F50" s="34"/>
      <c r="L50"/>
      <c r="M50"/>
    </row>
    <row r="51" spans="1:13" ht="30.75" customHeight="1">
      <c r="A51" s="167" t="s">
        <v>53</v>
      </c>
      <c r="B51" s="165"/>
      <c r="C51" s="165"/>
      <c r="D51" s="166"/>
      <c r="E51" s="34"/>
      <c r="F51" s="34"/>
      <c r="L51"/>
      <c r="M51"/>
    </row>
    <row r="52" spans="1:13">
      <c r="A52" s="164" t="s">
        <v>54</v>
      </c>
      <c r="B52" s="165"/>
      <c r="C52" s="165"/>
      <c r="D52" s="166"/>
      <c r="E52" s="34"/>
      <c r="F52" s="34"/>
      <c r="L52"/>
      <c r="M52"/>
    </row>
    <row r="53" spans="1:13">
      <c r="A53" s="164" t="s">
        <v>49</v>
      </c>
      <c r="B53" s="165"/>
      <c r="C53" s="165"/>
      <c r="D53" s="166"/>
      <c r="E53" s="34"/>
      <c r="F53" s="34"/>
      <c r="L53"/>
      <c r="M53"/>
    </row>
    <row r="54" spans="1:13">
      <c r="A54" s="164" t="s">
        <v>50</v>
      </c>
      <c r="B54" s="165"/>
      <c r="C54" s="165"/>
      <c r="D54" s="166"/>
      <c r="E54" s="34"/>
      <c r="F54" s="34"/>
      <c r="L54"/>
      <c r="M54"/>
    </row>
    <row r="55" spans="1:13">
      <c r="A55" s="164" t="s">
        <v>55</v>
      </c>
      <c r="B55" s="165"/>
      <c r="C55" s="165"/>
      <c r="D55" s="166"/>
      <c r="E55" s="34"/>
      <c r="F55" s="34"/>
      <c r="L55"/>
      <c r="M55"/>
    </row>
    <row r="56" spans="1:13" ht="29.25" customHeight="1">
      <c r="A56" s="167" t="s">
        <v>56</v>
      </c>
      <c r="B56" s="165"/>
      <c r="C56" s="165"/>
      <c r="D56" s="166"/>
      <c r="E56" s="34"/>
      <c r="F56" s="34"/>
      <c r="L56"/>
      <c r="M56"/>
    </row>
    <row r="57" spans="1:13">
      <c r="A57" s="147" t="s">
        <v>57</v>
      </c>
      <c r="B57" s="147"/>
      <c r="C57" s="147"/>
      <c r="D57" s="147"/>
      <c r="E57" s="34">
        <f>SUM(E47:E48)</f>
        <v>0</v>
      </c>
      <c r="F57" s="34">
        <f>'Box 3'!C38</f>
        <v>0</v>
      </c>
      <c r="L57"/>
      <c r="M57"/>
    </row>
    <row r="58" spans="1:13">
      <c r="A58" s="181" t="s">
        <v>46</v>
      </c>
      <c r="B58" s="181"/>
      <c r="C58" s="181"/>
      <c r="D58" s="181"/>
      <c r="E58" s="34"/>
      <c r="F58" s="34"/>
      <c r="L58"/>
      <c r="M58"/>
    </row>
    <row r="59" spans="1:13">
      <c r="A59" s="181" t="s">
        <v>58</v>
      </c>
      <c r="B59" s="181"/>
      <c r="C59" s="181"/>
      <c r="D59" s="181"/>
      <c r="E59" s="34">
        <f>'Box 3'!C40</f>
        <v>0</v>
      </c>
      <c r="F59" s="34"/>
      <c r="L59"/>
      <c r="M59"/>
    </row>
    <row r="60" spans="1:13">
      <c r="A60" s="143"/>
      <c r="B60" s="144"/>
      <c r="C60" s="144"/>
      <c r="D60" s="145"/>
      <c r="E60" s="31"/>
      <c r="F60" s="31"/>
      <c r="L60"/>
      <c r="M60"/>
    </row>
    <row r="61" spans="1:13">
      <c r="A61" s="189" t="s">
        <v>59</v>
      </c>
      <c r="B61" s="189"/>
      <c r="C61" s="189"/>
      <c r="D61" s="189"/>
      <c r="E61" s="35">
        <f>E34+L34+L42+E42+E57</f>
        <v>0</v>
      </c>
      <c r="F61" s="35">
        <f>F34+M34+M42+F42+F57</f>
        <v>0</v>
      </c>
      <c r="L61"/>
      <c r="M61"/>
    </row>
    <row r="62" spans="1:13">
      <c r="A62" s="189" t="s">
        <v>60</v>
      </c>
      <c r="B62" s="189"/>
      <c r="C62" s="189"/>
      <c r="D62" s="189"/>
      <c r="E62" s="35">
        <f>E36+L36+L44+E44+E59</f>
        <v>-3105</v>
      </c>
      <c r="F62" s="35"/>
      <c r="L62"/>
      <c r="M62"/>
    </row>
    <row r="63" spans="1:13">
      <c r="A63" s="183" t="s">
        <v>61</v>
      </c>
      <c r="B63" s="183"/>
      <c r="C63" s="183"/>
      <c r="D63" s="183"/>
      <c r="E63" s="35">
        <f>'Box 1 FP'!H4 + 'Box 1 FP'!H5</f>
        <v>8926</v>
      </c>
      <c r="F63" s="35"/>
      <c r="L63"/>
      <c r="M63"/>
    </row>
    <row r="64" spans="1:13">
      <c r="A64" s="183" t="s">
        <v>62</v>
      </c>
      <c r="B64" s="183"/>
      <c r="C64" s="183"/>
      <c r="D64" s="183"/>
      <c r="E64" s="35">
        <f>SUM('Box 1 FP'!E16:E19)</f>
        <v>1</v>
      </c>
      <c r="F64" s="35"/>
      <c r="L64"/>
      <c r="M64"/>
    </row>
    <row r="65" spans="1:13">
      <c r="E65"/>
      <c r="F65"/>
      <c r="L65"/>
      <c r="M65"/>
    </row>
    <row r="66" spans="1:13">
      <c r="A66" s="182" t="s">
        <v>71</v>
      </c>
      <c r="B66" s="182"/>
      <c r="C66" s="182"/>
      <c r="D66" s="182"/>
      <c r="E66" s="36">
        <f>(E61)-(E62-(E63+E64))</f>
        <v>12032</v>
      </c>
      <c r="F66" s="36"/>
      <c r="L66"/>
      <c r="M66"/>
    </row>
    <row r="67" spans="1:13">
      <c r="A67" s="129"/>
      <c r="B67" s="130"/>
      <c r="C67" s="130"/>
      <c r="D67" s="131"/>
      <c r="E67" s="36"/>
      <c r="F67" s="36"/>
      <c r="L67"/>
      <c r="M67"/>
    </row>
    <row r="68" spans="1:13">
      <c r="A68" s="124" t="s">
        <v>64</v>
      </c>
      <c r="B68" s="124"/>
      <c r="C68" s="124"/>
      <c r="D68" s="124"/>
      <c r="E68" s="36">
        <f>SUM(E2:E10)</f>
        <v>0</v>
      </c>
      <c r="F68" s="36"/>
      <c r="L68"/>
      <c r="M68"/>
    </row>
    <row r="69" spans="1:13">
      <c r="A69" s="178" t="s">
        <v>72</v>
      </c>
      <c r="B69" s="178"/>
      <c r="C69" s="178"/>
      <c r="D69" s="178"/>
      <c r="E69" s="114">
        <f>E66-(SUM(E2:E10))</f>
        <v>12032</v>
      </c>
      <c r="F69" s="36"/>
      <c r="L69"/>
      <c r="M69"/>
    </row>
    <row r="70" spans="1:13">
      <c r="L70"/>
      <c r="M70"/>
    </row>
    <row r="71" spans="1:13">
      <c r="L71"/>
      <c r="M71"/>
    </row>
    <row r="72" spans="1:13">
      <c r="L72"/>
      <c r="M72"/>
    </row>
    <row r="73" spans="1:13">
      <c r="L73"/>
      <c r="M73"/>
    </row>
    <row r="74" spans="1:13">
      <c r="L74"/>
      <c r="M74"/>
    </row>
    <row r="75" spans="1:13">
      <c r="L75"/>
      <c r="M75"/>
    </row>
    <row r="76" spans="1:13">
      <c r="L76"/>
      <c r="M76"/>
    </row>
    <row r="77" spans="1:13">
      <c r="L77"/>
      <c r="M77"/>
    </row>
    <row r="78" spans="1:13">
      <c r="L78"/>
      <c r="M78"/>
    </row>
    <row r="79" spans="1:13">
      <c r="L79"/>
      <c r="M79"/>
    </row>
    <row r="80" spans="1:13">
      <c r="L80"/>
      <c r="M80"/>
    </row>
    <row r="81" spans="12:13">
      <c r="L81"/>
      <c r="M81"/>
    </row>
  </sheetData>
  <mergeCells count="94">
    <mergeCell ref="A66:D66"/>
    <mergeCell ref="A64:D64"/>
    <mergeCell ref="A53:D53"/>
    <mergeCell ref="A54:D54"/>
    <mergeCell ref="A55:D55"/>
    <mergeCell ref="A56:D56"/>
    <mergeCell ref="A62:D62"/>
    <mergeCell ref="A63:D63"/>
    <mergeCell ref="A2:D2"/>
    <mergeCell ref="A3:D3"/>
    <mergeCell ref="A4:D4"/>
    <mergeCell ref="A5:D5"/>
    <mergeCell ref="A6:D6"/>
    <mergeCell ref="A11:D11"/>
    <mergeCell ref="A12:D12"/>
    <mergeCell ref="A7:D7"/>
    <mergeCell ref="A8:D8"/>
    <mergeCell ref="A10:D10"/>
    <mergeCell ref="A9:D9"/>
    <mergeCell ref="A68:D68"/>
    <mergeCell ref="A69:D69"/>
    <mergeCell ref="A1:D1"/>
    <mergeCell ref="A40:D40"/>
    <mergeCell ref="A41:D41"/>
    <mergeCell ref="A42:D42"/>
    <mergeCell ref="A43:D43"/>
    <mergeCell ref="A44:D44"/>
    <mergeCell ref="A46:D46"/>
    <mergeCell ref="A57:D57"/>
    <mergeCell ref="A58:D58"/>
    <mergeCell ref="A59:D59"/>
    <mergeCell ref="A45:D45"/>
    <mergeCell ref="A60:D60"/>
    <mergeCell ref="A67:D67"/>
    <mergeCell ref="A61:D61"/>
    <mergeCell ref="H34:K34"/>
    <mergeCell ref="A18:D18"/>
    <mergeCell ref="H18:K18"/>
    <mergeCell ref="A16:B16"/>
    <mergeCell ref="A21:D21"/>
    <mergeCell ref="C16:D16"/>
    <mergeCell ref="A17:B17"/>
    <mergeCell ref="H16:I16"/>
    <mergeCell ref="J16:K16"/>
    <mergeCell ref="H21:K21"/>
    <mergeCell ref="H17:I17"/>
    <mergeCell ref="J17:K17"/>
    <mergeCell ref="H27:K27"/>
    <mergeCell ref="A32:D32"/>
    <mergeCell ref="A22:D22"/>
    <mergeCell ref="A23:D23"/>
    <mergeCell ref="A24:D24"/>
    <mergeCell ref="A25:D25"/>
    <mergeCell ref="H25:K25"/>
    <mergeCell ref="H24:K24"/>
    <mergeCell ref="H26:K26"/>
    <mergeCell ref="H28:K28"/>
    <mergeCell ref="H29:K29"/>
    <mergeCell ref="H30:K30"/>
    <mergeCell ref="H31:K31"/>
    <mergeCell ref="H32:K32"/>
    <mergeCell ref="A29:D29"/>
    <mergeCell ref="A30:D30"/>
    <mergeCell ref="A31:D31"/>
    <mergeCell ref="A33:D33"/>
    <mergeCell ref="A35:D35"/>
    <mergeCell ref="A34:D34"/>
    <mergeCell ref="A48:D48"/>
    <mergeCell ref="A49:D49"/>
    <mergeCell ref="A52:D52"/>
    <mergeCell ref="A50:D50"/>
    <mergeCell ref="A51:D51"/>
    <mergeCell ref="H41:K41"/>
    <mergeCell ref="H42:K42"/>
    <mergeCell ref="A47:D47"/>
    <mergeCell ref="H43:K43"/>
    <mergeCell ref="H44:K44"/>
    <mergeCell ref="H45:K45"/>
    <mergeCell ref="H38:K38"/>
    <mergeCell ref="H39:K39"/>
    <mergeCell ref="H40:K40"/>
    <mergeCell ref="A27:D27"/>
    <mergeCell ref="H22:K22"/>
    <mergeCell ref="H23:K23"/>
    <mergeCell ref="H35:K35"/>
    <mergeCell ref="A37:D37"/>
    <mergeCell ref="A36:D36"/>
    <mergeCell ref="H33:K33"/>
    <mergeCell ref="A26:D26"/>
    <mergeCell ref="H36:K36"/>
    <mergeCell ref="H37:K37"/>
    <mergeCell ref="A38:D38"/>
    <mergeCell ref="A39:D39"/>
    <mergeCell ref="A28:D28"/>
  </mergeCells>
  <phoneticPr fontId="11" type="noConversion"/>
  <dataValidations count="1">
    <dataValidation allowBlank="1" showInputMessage="1" showErrorMessage="1" sqref="D17" xr:uid="{D49B507F-7F39-43A8-8F70-0F230C83A0D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50E1-9AD8-B444-82ED-91201F1F0ABB}">
  <dimension ref="A1:T64"/>
  <sheetViews>
    <sheetView zoomScale="80" zoomScaleNormal="80" workbookViewId="0">
      <selection activeCell="A5" sqref="A5"/>
    </sheetView>
  </sheetViews>
  <sheetFormatPr defaultColWidth="11.42578125" defaultRowHeight="15"/>
  <cols>
    <col min="1" max="1" width="14.42578125" customWidth="1"/>
    <col min="2" max="2" width="13.85546875" customWidth="1"/>
    <col min="4" max="4" width="31.42578125" customWidth="1"/>
    <col min="5" max="5" width="16.85546875" style="23" customWidth="1"/>
    <col min="6" max="6" width="18.28515625" style="23" customWidth="1"/>
    <col min="11" max="11" width="23.7109375" customWidth="1"/>
    <col min="12" max="12" width="14.42578125" style="41" customWidth="1"/>
    <col min="13" max="13" width="16.85546875" style="42" customWidth="1"/>
  </cols>
  <sheetData>
    <row r="1" spans="1:20" ht="83.1" customHeight="1">
      <c r="E1" s="25" t="s">
        <v>15</v>
      </c>
      <c r="F1" s="26" t="s">
        <v>16</v>
      </c>
      <c r="L1" s="38" t="s">
        <v>15</v>
      </c>
      <c r="M1" s="39" t="s">
        <v>16</v>
      </c>
    </row>
    <row r="2" spans="1:20" ht="15" customHeight="1">
      <c r="A2" s="171" t="s">
        <v>17</v>
      </c>
      <c r="B2" s="171"/>
      <c r="C2" s="174" t="s">
        <v>18</v>
      </c>
      <c r="D2" s="175"/>
      <c r="E2" s="27"/>
      <c r="F2" s="28"/>
      <c r="H2" s="171" t="s">
        <v>68</v>
      </c>
      <c r="I2" s="171"/>
      <c r="J2" s="174" t="s">
        <v>69</v>
      </c>
      <c r="K2" s="175"/>
      <c r="L2" s="27"/>
      <c r="M2" s="28"/>
    </row>
    <row r="3" spans="1:20" ht="15" customHeight="1">
      <c r="A3" s="170" t="s">
        <v>20</v>
      </c>
      <c r="B3" s="151"/>
      <c r="C3" s="151"/>
      <c r="D3" s="153"/>
      <c r="E3" s="77"/>
      <c r="F3" s="78"/>
      <c r="H3" s="170" t="s">
        <v>20</v>
      </c>
      <c r="I3" s="151"/>
      <c r="J3" s="151"/>
      <c r="K3" s="153"/>
      <c r="L3" s="77"/>
      <c r="M3" s="78"/>
    </row>
    <row r="4" spans="1:20" ht="15" customHeight="1">
      <c r="A4" s="76" t="s">
        <v>21</v>
      </c>
      <c r="B4" s="76" t="s">
        <v>22</v>
      </c>
      <c r="C4" s="80" t="s">
        <v>23</v>
      </c>
      <c r="D4" s="81" t="s">
        <v>24</v>
      </c>
      <c r="E4" s="83"/>
      <c r="F4" s="78"/>
      <c r="H4" s="76" t="s">
        <v>21</v>
      </c>
      <c r="I4" s="76" t="s">
        <v>22</v>
      </c>
      <c r="J4" s="75" t="s">
        <v>23</v>
      </c>
      <c r="K4" s="88" t="s">
        <v>24</v>
      </c>
      <c r="L4" s="85"/>
      <c r="M4" s="78"/>
    </row>
    <row r="5" spans="1:20" ht="15" customHeight="1">
      <c r="A5" s="76"/>
      <c r="B5" s="76"/>
      <c r="C5" s="75"/>
      <c r="D5" s="82" t="str">
        <f>IF(OR(ISBLANK(A5), ISBLANK(B5), ISBLANK(C5), A5=0, B5=0, C5=0), "", DATEDIF(DATE(A5,B5,C5), DATE(2024,12,31), "Y"))</f>
        <v/>
      </c>
      <c r="E5" s="89" t="str">
        <f>IF(OR(D5="", D5=0), "Nog geen AOW", IF(D5&gt;= 67, "Bereikt AOW", IF(D5= 66, "AOW in 2024", "Nog geen AOW")))</f>
        <v>Nog geen AOW</v>
      </c>
      <c r="F5" s="86" t="str">
        <f>IF(E5="Bereikt AOW", IF(DATE(A5, B5, C5) &lt; DATE(1946, 1, 1), "Voor 1946", "Na 1946"), "")</f>
        <v/>
      </c>
      <c r="H5" s="76">
        <v>1944</v>
      </c>
      <c r="I5" s="76">
        <v>3</v>
      </c>
      <c r="J5" s="75">
        <v>24</v>
      </c>
      <c r="K5" s="82">
        <f>IF(OR(ISBLANK(H5), ISBLANK(I5), ISBLANK(J5), H5=0, I5=0, J5=0), "", DATEDIF(DATE(H5,I5,J5), DATE(2024,12,31), "Y"))</f>
        <v>80</v>
      </c>
      <c r="L5" s="90" t="str">
        <f>IF(OR(K5="", K5=0), "Nog geen AOW", IF(K5&gt;= 67, "Bereikt AOW", IF(K5= 66, "AOW in 2024", "Nog geen AOW")))</f>
        <v>Bereikt AOW</v>
      </c>
      <c r="M5" s="87" t="str">
        <f>IF(L5="Bereikt AOW", IF(DATE(H5, I5, J5) &lt; DATE(1946, 1, 1), "Voor 1946", "Na 1946"), "")</f>
        <v>Voor 1946</v>
      </c>
    </row>
    <row r="6" spans="1:20">
      <c r="A6" s="172" t="s">
        <v>25</v>
      </c>
      <c r="B6" s="172"/>
      <c r="C6" s="172"/>
      <c r="D6" s="173"/>
      <c r="E6" s="29"/>
      <c r="F6" s="29"/>
      <c r="H6" s="172" t="s">
        <v>25</v>
      </c>
      <c r="I6" s="172"/>
      <c r="J6" s="172"/>
      <c r="K6" s="173"/>
      <c r="L6" s="79"/>
      <c r="M6" s="29"/>
      <c r="O6" s="184" t="s">
        <v>73</v>
      </c>
      <c r="P6" s="184"/>
      <c r="Q6" s="184"/>
      <c r="R6" s="184"/>
      <c r="S6" s="184"/>
      <c r="T6" s="184"/>
    </row>
    <row r="7" spans="1:20">
      <c r="A7" s="151" t="s">
        <v>26</v>
      </c>
      <c r="B7" s="151"/>
      <c r="C7" s="151"/>
      <c r="D7" s="151"/>
      <c r="E7" s="29"/>
      <c r="F7" s="29"/>
      <c r="H7" s="151" t="s">
        <v>26</v>
      </c>
      <c r="I7" s="151"/>
      <c r="J7" s="151"/>
      <c r="K7" s="151"/>
      <c r="L7" s="29"/>
      <c r="M7" s="29"/>
      <c r="O7" s="184"/>
      <c r="P7" s="184"/>
      <c r="Q7" s="184"/>
      <c r="R7" s="184"/>
      <c r="S7" s="184"/>
      <c r="T7" s="184"/>
    </row>
    <row r="8" spans="1:20">
      <c r="A8" s="151" t="s">
        <v>27</v>
      </c>
      <c r="B8" s="151"/>
      <c r="C8" s="151"/>
      <c r="D8" s="151"/>
      <c r="E8" s="29">
        <v>78176</v>
      </c>
      <c r="F8" s="29"/>
      <c r="H8" s="151" t="s">
        <v>27</v>
      </c>
      <c r="I8" s="151"/>
      <c r="J8" s="151"/>
      <c r="K8" s="151"/>
      <c r="L8" s="29">
        <v>34992</v>
      </c>
      <c r="M8" s="29"/>
      <c r="O8" s="184"/>
      <c r="P8" s="184"/>
      <c r="Q8" s="184"/>
      <c r="R8" s="184"/>
      <c r="S8" s="184"/>
      <c r="T8" s="184"/>
    </row>
    <row r="9" spans="1:20">
      <c r="A9" s="151" t="s">
        <v>28</v>
      </c>
      <c r="B9" s="151"/>
      <c r="C9" s="151"/>
      <c r="D9" s="151"/>
      <c r="E9" s="29"/>
      <c r="F9" s="29"/>
      <c r="H9" s="151" t="s">
        <v>28</v>
      </c>
      <c r="I9" s="151"/>
      <c r="J9" s="151"/>
      <c r="K9" s="151"/>
      <c r="L9" s="29"/>
      <c r="M9" s="29"/>
      <c r="O9" s="184"/>
      <c r="P9" s="184"/>
      <c r="Q9" s="184"/>
      <c r="R9" s="184"/>
      <c r="S9" s="184"/>
      <c r="T9" s="184"/>
    </row>
    <row r="10" spans="1:20">
      <c r="A10" s="151" t="s">
        <v>29</v>
      </c>
      <c r="B10" s="151"/>
      <c r="C10" s="151"/>
      <c r="D10" s="151"/>
      <c r="E10" s="29"/>
      <c r="F10" s="29"/>
      <c r="H10" s="151" t="s">
        <v>29</v>
      </c>
      <c r="I10" s="151"/>
      <c r="J10" s="151"/>
      <c r="K10" s="151"/>
      <c r="L10" s="29"/>
      <c r="M10" s="29"/>
      <c r="O10" s="184"/>
      <c r="P10" s="184"/>
      <c r="Q10" s="184"/>
      <c r="R10" s="184"/>
      <c r="S10" s="184"/>
      <c r="T10" s="184"/>
    </row>
    <row r="11" spans="1:20">
      <c r="A11" s="151" t="s">
        <v>30</v>
      </c>
      <c r="B11" s="151"/>
      <c r="C11" s="151"/>
      <c r="D11" s="151"/>
      <c r="E11" s="29"/>
      <c r="F11" s="29"/>
      <c r="H11" s="151" t="s">
        <v>30</v>
      </c>
      <c r="I11" s="151"/>
      <c r="J11" s="151"/>
      <c r="K11" s="151"/>
      <c r="L11" s="29"/>
      <c r="M11" s="29"/>
      <c r="O11" s="184"/>
      <c r="P11" s="184"/>
      <c r="Q11" s="184"/>
      <c r="R11" s="184"/>
      <c r="S11" s="184"/>
      <c r="T11" s="184"/>
    </row>
    <row r="12" spans="1:20">
      <c r="A12" s="151" t="s">
        <v>31</v>
      </c>
      <c r="B12" s="151"/>
      <c r="C12" s="151"/>
      <c r="D12" s="151"/>
      <c r="E12" s="29"/>
      <c r="F12" s="29"/>
      <c r="H12" s="151" t="s">
        <v>31</v>
      </c>
      <c r="I12" s="151"/>
      <c r="J12" s="151"/>
      <c r="K12" s="151"/>
      <c r="L12" s="29"/>
      <c r="M12" s="29"/>
      <c r="O12" s="184"/>
      <c r="P12" s="184"/>
      <c r="Q12" s="184"/>
      <c r="R12" s="184"/>
      <c r="S12" s="184"/>
      <c r="T12" s="184"/>
    </row>
    <row r="13" spans="1:20">
      <c r="A13" s="151" t="s">
        <v>32</v>
      </c>
      <c r="B13" s="151"/>
      <c r="C13" s="151"/>
      <c r="D13" s="151"/>
      <c r="E13" s="44"/>
      <c r="F13" s="29"/>
      <c r="H13" s="151" t="s">
        <v>32</v>
      </c>
      <c r="I13" s="151"/>
      <c r="J13" s="151"/>
      <c r="K13" s="151"/>
      <c r="L13" s="29"/>
      <c r="M13" s="29"/>
      <c r="O13" s="184"/>
      <c r="P13" s="184"/>
      <c r="Q13" s="184"/>
      <c r="R13" s="184"/>
      <c r="S13" s="184"/>
      <c r="T13" s="184"/>
    </row>
    <row r="14" spans="1:20">
      <c r="A14" s="151" t="s">
        <v>33</v>
      </c>
      <c r="B14" s="151"/>
      <c r="C14" s="151"/>
      <c r="D14" s="151"/>
      <c r="E14" s="44"/>
      <c r="F14" s="29"/>
      <c r="H14" s="151" t="s">
        <v>33</v>
      </c>
      <c r="I14" s="151"/>
      <c r="J14" s="151"/>
      <c r="K14" s="151"/>
      <c r="L14" s="29"/>
      <c r="M14" s="29"/>
    </row>
    <row r="15" spans="1:20">
      <c r="A15" s="151" t="s">
        <v>34</v>
      </c>
      <c r="B15" s="151"/>
      <c r="C15" s="151"/>
      <c r="D15" s="151"/>
      <c r="E15" s="44"/>
      <c r="F15" s="29"/>
      <c r="H15" s="151" t="s">
        <v>34</v>
      </c>
      <c r="I15" s="151"/>
      <c r="J15" s="151"/>
      <c r="K15" s="151"/>
      <c r="L15" s="29"/>
      <c r="M15" s="29"/>
    </row>
    <row r="16" spans="1:20">
      <c r="A16" s="151" t="s">
        <v>35</v>
      </c>
      <c r="B16" s="151"/>
      <c r="C16" s="151"/>
      <c r="D16" s="151"/>
      <c r="E16" s="44">
        <f>IF(F61&lt;= 12500, 0, IF(F61&lt;= 25000, F61* 0.001, IF(F61&lt;= 50000, F61* 0.002, IF(F61&lt;= 75000, F61* 0.0025, IF(F61&lt;= 1310000, F61* 0.0035, 4585 + ((F61- 1310000) * 0.0235))))))</f>
        <v>2100</v>
      </c>
      <c r="F16" s="29"/>
      <c r="H16" s="151" t="s">
        <v>35</v>
      </c>
      <c r="I16" s="151"/>
      <c r="J16" s="151"/>
      <c r="K16" s="151"/>
      <c r="L16" s="29">
        <f>IF(M61&lt;= 12500, 0, IF(M61&lt;= 25000, M61* 0.001, IF(M61&lt;= 50000, M61* 0.002, IF(M61&lt;= 75000, M61* 0.0025, IF(M61&lt;= 1310000, M61* 0.0035, 4585 + ((M61- 1310000) * 0.0235))))))</f>
        <v>2100</v>
      </c>
      <c r="M16" s="29"/>
    </row>
    <row r="17" spans="1:16">
      <c r="A17" s="151" t="s">
        <v>36</v>
      </c>
      <c r="B17" s="151"/>
      <c r="C17" s="151"/>
      <c r="D17" s="151"/>
      <c r="E17" s="44"/>
      <c r="F17" s="29"/>
      <c r="H17" s="151" t="s">
        <v>36</v>
      </c>
      <c r="I17" s="151"/>
      <c r="J17" s="151"/>
      <c r="K17" s="151"/>
      <c r="L17" s="29"/>
      <c r="M17" s="29"/>
    </row>
    <row r="18" spans="1:16">
      <c r="A18" s="168" t="s">
        <v>38</v>
      </c>
      <c r="B18" s="168"/>
      <c r="C18" s="168"/>
      <c r="D18" s="168"/>
      <c r="E18" s="29">
        <f>SUM(E7:E17)</f>
        <v>80276</v>
      </c>
      <c r="F18" s="29"/>
      <c r="H18" s="168" t="s">
        <v>38</v>
      </c>
      <c r="I18" s="168"/>
      <c r="J18" s="168"/>
      <c r="K18" s="168"/>
      <c r="L18" s="29">
        <f>SUM(L7:L17)</f>
        <v>37092</v>
      </c>
      <c r="M18" s="29"/>
    </row>
    <row r="19" spans="1:16">
      <c r="A19" s="168" t="s">
        <v>39</v>
      </c>
      <c r="B19" s="168"/>
      <c r="C19" s="168"/>
      <c r="D19" s="168"/>
      <c r="E19" s="29">
        <v>8400</v>
      </c>
      <c r="F19" s="29"/>
      <c r="H19" s="168" t="s">
        <v>39</v>
      </c>
      <c r="I19" s="168"/>
      <c r="J19" s="168"/>
      <c r="K19" s="168"/>
      <c r="L19" s="29"/>
      <c r="M19" s="29"/>
      <c r="O19">
        <f>1450*12</f>
        <v>17400</v>
      </c>
      <c r="P19">
        <f>O19/2</f>
        <v>8700</v>
      </c>
    </row>
    <row r="20" spans="1:16">
      <c r="A20" s="161" t="s">
        <v>40</v>
      </c>
      <c r="B20" s="161"/>
      <c r="C20" s="161"/>
      <c r="D20" s="161"/>
      <c r="E20" s="29">
        <f>'Box 1 FP'!G32</f>
        <v>-3105</v>
      </c>
      <c r="F20" s="29"/>
      <c r="H20" s="161" t="s">
        <v>40</v>
      </c>
      <c r="I20" s="161"/>
      <c r="J20" s="161"/>
      <c r="K20" s="161"/>
      <c r="L20" s="29">
        <f>'Box 1 FP'!G61</f>
        <v>0</v>
      </c>
      <c r="M20" s="29"/>
      <c r="O20">
        <f>1050*12</f>
        <v>12600</v>
      </c>
      <c r="P20">
        <f>O20/2</f>
        <v>6300</v>
      </c>
    </row>
    <row r="21" spans="1:16">
      <c r="A21" s="143"/>
      <c r="B21" s="144"/>
      <c r="C21" s="144"/>
      <c r="D21" s="145"/>
      <c r="E21" s="30"/>
      <c r="F21" s="31"/>
      <c r="H21" s="143"/>
      <c r="I21" s="144"/>
      <c r="J21" s="144"/>
      <c r="K21" s="145"/>
      <c r="L21" s="30"/>
      <c r="M21" s="31"/>
      <c r="O21">
        <v>1000</v>
      </c>
      <c r="P21">
        <f>O21/2</f>
        <v>500</v>
      </c>
    </row>
    <row r="22" spans="1:16">
      <c r="A22" s="162" t="s">
        <v>41</v>
      </c>
      <c r="B22" s="162"/>
      <c r="C22" s="162"/>
      <c r="D22" s="162"/>
      <c r="E22" s="32"/>
      <c r="F22" s="32"/>
      <c r="H22" s="162" t="s">
        <v>41</v>
      </c>
      <c r="I22" s="162"/>
      <c r="J22" s="162"/>
      <c r="K22" s="162"/>
      <c r="L22" s="32"/>
      <c r="M22" s="32"/>
      <c r="O22">
        <v>400</v>
      </c>
      <c r="P22">
        <f>O22/2</f>
        <v>200</v>
      </c>
    </row>
    <row r="23" spans="1:16">
      <c r="A23" s="163" t="s">
        <v>42</v>
      </c>
      <c r="B23" s="163"/>
      <c r="C23" s="163"/>
      <c r="D23" s="163"/>
      <c r="E23" s="32"/>
      <c r="F23" s="32"/>
      <c r="H23" s="163" t="s">
        <v>42</v>
      </c>
      <c r="I23" s="163"/>
      <c r="J23" s="163"/>
      <c r="K23" s="163"/>
      <c r="L23" s="32">
        <v>10000</v>
      </c>
      <c r="M23" s="32"/>
      <c r="O23">
        <v>1800</v>
      </c>
      <c r="P23">
        <f>O23/2</f>
        <v>900</v>
      </c>
    </row>
    <row r="24" spans="1:16">
      <c r="A24" s="163" t="s">
        <v>43</v>
      </c>
      <c r="B24" s="163"/>
      <c r="C24" s="163"/>
      <c r="D24" s="163"/>
      <c r="E24" s="32"/>
      <c r="F24" s="32"/>
      <c r="H24" s="163" t="s">
        <v>43</v>
      </c>
      <c r="I24" s="163"/>
      <c r="J24" s="163"/>
      <c r="K24" s="163"/>
      <c r="L24" s="32"/>
      <c r="M24" s="32"/>
    </row>
    <row r="25" spans="1:16">
      <c r="A25" s="163" t="s">
        <v>44</v>
      </c>
      <c r="B25" s="163"/>
      <c r="C25" s="163"/>
      <c r="D25" s="163"/>
      <c r="E25" s="32"/>
      <c r="F25" s="32"/>
      <c r="H25" s="163" t="s">
        <v>44</v>
      </c>
      <c r="I25" s="163"/>
      <c r="J25" s="163"/>
      <c r="K25" s="163"/>
      <c r="L25" s="32"/>
      <c r="M25" s="32"/>
    </row>
    <row r="26" spans="1:16">
      <c r="A26" s="179" t="s">
        <v>45</v>
      </c>
      <c r="B26" s="179"/>
      <c r="C26" s="179"/>
      <c r="D26" s="179"/>
      <c r="E26" s="32"/>
      <c r="F26" s="32"/>
      <c r="H26" s="179" t="s">
        <v>45</v>
      </c>
      <c r="I26" s="179"/>
      <c r="J26" s="179"/>
      <c r="K26" s="179"/>
      <c r="L26" s="32"/>
      <c r="M26" s="32"/>
    </row>
    <row r="27" spans="1:16">
      <c r="A27" s="179" t="s">
        <v>46</v>
      </c>
      <c r="B27" s="179"/>
      <c r="C27" s="179"/>
      <c r="D27" s="179"/>
      <c r="E27" s="32"/>
      <c r="F27" s="32"/>
      <c r="H27" s="179" t="s">
        <v>46</v>
      </c>
      <c r="I27" s="179"/>
      <c r="J27" s="179"/>
      <c r="K27" s="179"/>
      <c r="L27" s="32"/>
      <c r="M27" s="32"/>
    </row>
    <row r="28" spans="1:16">
      <c r="A28" s="179" t="s">
        <v>47</v>
      </c>
      <c r="B28" s="179"/>
      <c r="C28" s="179"/>
      <c r="D28" s="179"/>
      <c r="E28" s="32">
        <f>IF(E23&lt;=67000,E23*0.245,67000*0.245+(E23-67000)*0.33)</f>
        <v>0</v>
      </c>
      <c r="F28" s="32"/>
      <c r="H28" s="179" t="s">
        <v>47</v>
      </c>
      <c r="I28" s="179"/>
      <c r="J28" s="179"/>
      <c r="K28" s="179"/>
      <c r="L28" s="32">
        <f>IF(L23&lt;=67000,L23*0.245,67000*0.245+(L23-67000)*0.33)</f>
        <v>2450</v>
      </c>
      <c r="M28" s="32"/>
    </row>
    <row r="29" spans="1:16">
      <c r="A29" s="136"/>
      <c r="B29" s="137"/>
      <c r="C29" s="137"/>
      <c r="D29" s="138"/>
      <c r="E29" s="33"/>
      <c r="F29" s="33"/>
      <c r="H29" s="136"/>
      <c r="I29" s="137"/>
      <c r="J29" s="137"/>
      <c r="K29" s="138"/>
      <c r="L29" s="33"/>
      <c r="M29" s="33"/>
    </row>
    <row r="30" spans="1:16">
      <c r="A30" s="180" t="s">
        <v>48</v>
      </c>
      <c r="B30" s="180"/>
      <c r="C30" s="180"/>
      <c r="D30" s="180"/>
      <c r="E30" s="34"/>
      <c r="F30" s="34"/>
      <c r="H30" s="180" t="s">
        <v>48</v>
      </c>
      <c r="I30" s="180"/>
      <c r="J30" s="180"/>
      <c r="K30" s="180"/>
      <c r="L30" s="34"/>
      <c r="M30" s="34"/>
    </row>
    <row r="31" spans="1:16">
      <c r="A31" s="164" t="s">
        <v>49</v>
      </c>
      <c r="B31" s="165"/>
      <c r="C31" s="165"/>
      <c r="D31" s="166"/>
      <c r="E31" s="34">
        <v>1800</v>
      </c>
      <c r="F31" s="34"/>
      <c r="H31" s="164" t="s">
        <v>49</v>
      </c>
      <c r="I31" s="165"/>
      <c r="J31" s="165"/>
      <c r="K31" s="166"/>
      <c r="L31" s="34">
        <v>1800</v>
      </c>
      <c r="M31" s="34"/>
    </row>
    <row r="32" spans="1:16">
      <c r="A32" s="164" t="s">
        <v>50</v>
      </c>
      <c r="B32" s="165"/>
      <c r="C32" s="165"/>
      <c r="D32" s="166"/>
      <c r="E32" s="34"/>
      <c r="F32" s="34"/>
      <c r="H32" s="164" t="s">
        <v>50</v>
      </c>
      <c r="I32" s="165"/>
      <c r="J32" s="165"/>
      <c r="K32" s="166"/>
      <c r="L32" s="34"/>
      <c r="M32" s="34"/>
    </row>
    <row r="33" spans="1:13">
      <c r="A33" s="164" t="s">
        <v>51</v>
      </c>
      <c r="B33" s="165"/>
      <c r="C33" s="165"/>
      <c r="D33" s="166"/>
      <c r="E33" s="34"/>
      <c r="F33" s="34">
        <v>50000</v>
      </c>
      <c r="H33" s="164" t="s">
        <v>51</v>
      </c>
      <c r="I33" s="165"/>
      <c r="J33" s="165"/>
      <c r="K33" s="166"/>
      <c r="L33" s="34"/>
      <c r="M33" s="34">
        <v>50000</v>
      </c>
    </row>
    <row r="34" spans="1:13" ht="31.5" customHeight="1">
      <c r="A34" s="167" t="s">
        <v>52</v>
      </c>
      <c r="B34" s="165"/>
      <c r="C34" s="165"/>
      <c r="D34" s="166"/>
      <c r="E34" s="34"/>
      <c r="F34" s="34">
        <v>50000</v>
      </c>
      <c r="H34" s="167" t="s">
        <v>52</v>
      </c>
      <c r="I34" s="165"/>
      <c r="J34" s="165"/>
      <c r="K34" s="166"/>
      <c r="L34" s="34"/>
      <c r="M34" s="34">
        <v>50000</v>
      </c>
    </row>
    <row r="35" spans="1:13" ht="30.75" customHeight="1">
      <c r="A35" s="167" t="s">
        <v>53</v>
      </c>
      <c r="B35" s="165"/>
      <c r="C35" s="165"/>
      <c r="D35" s="166"/>
      <c r="E35" s="34"/>
      <c r="F35" s="34">
        <v>25000</v>
      </c>
      <c r="H35" s="167" t="s">
        <v>53</v>
      </c>
      <c r="I35" s="165"/>
      <c r="J35" s="165"/>
      <c r="K35" s="166"/>
      <c r="L35" s="34"/>
      <c r="M35" s="34">
        <v>25000</v>
      </c>
    </row>
    <row r="36" spans="1:13">
      <c r="A36" s="164" t="s">
        <v>54</v>
      </c>
      <c r="B36" s="165"/>
      <c r="C36" s="165"/>
      <c r="D36" s="166"/>
      <c r="E36" s="34"/>
      <c r="F36" s="34">
        <v>392500</v>
      </c>
      <c r="H36" s="164" t="s">
        <v>54</v>
      </c>
      <c r="I36" s="165"/>
      <c r="J36" s="165"/>
      <c r="K36" s="166"/>
      <c r="L36" s="34"/>
      <c r="M36" s="84">
        <v>392500</v>
      </c>
    </row>
    <row r="37" spans="1:13">
      <c r="A37" s="164" t="s">
        <v>49</v>
      </c>
      <c r="B37" s="165"/>
      <c r="C37" s="165"/>
      <c r="D37" s="166"/>
      <c r="E37" s="34"/>
      <c r="F37" s="34"/>
      <c r="H37" s="164" t="s">
        <v>49</v>
      </c>
      <c r="I37" s="165"/>
      <c r="J37" s="165"/>
      <c r="K37" s="166"/>
      <c r="L37" s="34"/>
      <c r="M37" s="34">
        <v>10000</v>
      </c>
    </row>
    <row r="38" spans="1:13">
      <c r="A38" s="164" t="s">
        <v>50</v>
      </c>
      <c r="B38" s="165"/>
      <c r="C38" s="165"/>
      <c r="D38" s="166"/>
      <c r="E38" s="34"/>
      <c r="F38" s="34"/>
      <c r="H38" s="164" t="s">
        <v>50</v>
      </c>
      <c r="I38" s="165"/>
      <c r="J38" s="165"/>
      <c r="K38" s="166"/>
      <c r="L38" s="34"/>
      <c r="M38" s="34"/>
    </row>
    <row r="39" spans="1:13">
      <c r="A39" s="164" t="s">
        <v>55</v>
      </c>
      <c r="B39" s="165"/>
      <c r="C39" s="165"/>
      <c r="D39" s="166"/>
      <c r="E39" s="34"/>
      <c r="F39" s="34">
        <v>250000</v>
      </c>
      <c r="H39" s="164" t="s">
        <v>55</v>
      </c>
      <c r="I39" s="165"/>
      <c r="J39" s="165"/>
      <c r="K39" s="166"/>
      <c r="L39" s="34"/>
      <c r="M39" s="34">
        <v>250000</v>
      </c>
    </row>
    <row r="40" spans="1:13" ht="29.25" customHeight="1">
      <c r="A40" s="167" t="s">
        <v>56</v>
      </c>
      <c r="B40" s="165"/>
      <c r="C40" s="165"/>
      <c r="D40" s="166"/>
      <c r="E40" s="34"/>
      <c r="F40" s="34"/>
      <c r="H40" s="167" t="s">
        <v>56</v>
      </c>
      <c r="I40" s="165"/>
      <c r="J40" s="165"/>
      <c r="K40" s="166"/>
      <c r="L40" s="34"/>
      <c r="M40" s="34"/>
    </row>
    <row r="41" spans="1:13">
      <c r="A41" s="147" t="s">
        <v>57</v>
      </c>
      <c r="B41" s="147"/>
      <c r="C41" s="147"/>
      <c r="D41" s="147"/>
      <c r="E41" s="34">
        <f>SUM(E31:E32)</f>
        <v>1800</v>
      </c>
      <c r="F41" s="34" t="e">
        <f>'Box 3'!#REF!</f>
        <v>#REF!</v>
      </c>
      <c r="H41" s="147" t="s">
        <v>57</v>
      </c>
      <c r="I41" s="147"/>
      <c r="J41" s="147"/>
      <c r="K41" s="147"/>
      <c r="L41" s="34">
        <f>SUM(L31:L32)</f>
        <v>1800</v>
      </c>
      <c r="M41" s="34" t="e">
        <f>'Box 3'!#REF!</f>
        <v>#REF!</v>
      </c>
    </row>
    <row r="42" spans="1:13">
      <c r="A42" s="181" t="s">
        <v>46</v>
      </c>
      <c r="B42" s="181"/>
      <c r="C42" s="181"/>
      <c r="D42" s="181"/>
      <c r="E42" s="34"/>
      <c r="F42" s="34"/>
      <c r="H42" s="181" t="s">
        <v>46</v>
      </c>
      <c r="I42" s="181"/>
      <c r="J42" s="181"/>
      <c r="K42" s="181"/>
      <c r="L42" s="34"/>
      <c r="M42" s="34"/>
    </row>
    <row r="43" spans="1:13">
      <c r="A43" s="181" t="s">
        <v>58</v>
      </c>
      <c r="B43" s="181"/>
      <c r="C43" s="181"/>
      <c r="D43" s="181"/>
      <c r="E43" s="34" t="e">
        <f>'Box 3'!#REF!</f>
        <v>#REF!</v>
      </c>
      <c r="F43" s="34"/>
      <c r="H43" s="181" t="s">
        <v>58</v>
      </c>
      <c r="I43" s="181"/>
      <c r="J43" s="181"/>
      <c r="K43" s="181"/>
      <c r="L43" s="34" t="e">
        <f>'Box 3'!#REF!</f>
        <v>#REF!</v>
      </c>
      <c r="M43" s="34"/>
    </row>
    <row r="44" spans="1:13">
      <c r="A44" s="143"/>
      <c r="B44" s="144"/>
      <c r="C44" s="144"/>
      <c r="D44" s="145"/>
      <c r="E44" s="31"/>
      <c r="F44" s="31"/>
      <c r="H44" s="143"/>
      <c r="I44" s="144"/>
      <c r="J44" s="144"/>
      <c r="K44" s="145"/>
      <c r="L44" s="31"/>
      <c r="M44" s="31"/>
    </row>
    <row r="45" spans="1:13">
      <c r="A45" s="189" t="s">
        <v>59</v>
      </c>
      <c r="B45" s="189"/>
      <c r="C45" s="189"/>
      <c r="D45" s="189"/>
      <c r="E45" s="35">
        <f>E18+E26+E41</f>
        <v>82076</v>
      </c>
      <c r="F45" s="35" t="e">
        <f>F18+F26+F41</f>
        <v>#REF!</v>
      </c>
      <c r="H45" s="189" t="s">
        <v>59</v>
      </c>
      <c r="I45" s="189"/>
      <c r="J45" s="189"/>
      <c r="K45" s="189"/>
      <c r="L45" s="35">
        <f>L18+L26+L41</f>
        <v>38892</v>
      </c>
      <c r="M45" s="35" t="e">
        <f>M18+M26+M41</f>
        <v>#REF!</v>
      </c>
    </row>
    <row r="46" spans="1:13">
      <c r="A46" s="189" t="s">
        <v>60</v>
      </c>
      <c r="B46" s="189"/>
      <c r="C46" s="189"/>
      <c r="D46" s="189"/>
      <c r="E46" s="35" t="e">
        <f>E20+E28+E43</f>
        <v>#REF!</v>
      </c>
      <c r="F46" s="35"/>
      <c r="H46" s="189" t="s">
        <v>60</v>
      </c>
      <c r="I46" s="189"/>
      <c r="J46" s="189"/>
      <c r="K46" s="189"/>
      <c r="L46" s="35" t="e">
        <f>L20+L28+L43</f>
        <v>#REF!</v>
      </c>
      <c r="M46" s="35"/>
    </row>
    <row r="47" spans="1:13">
      <c r="A47" s="183" t="s">
        <v>61</v>
      </c>
      <c r="B47" s="183"/>
      <c r="C47" s="183"/>
      <c r="D47" s="183"/>
      <c r="E47" s="35">
        <f>'Box 1 FP'!H4 + 'Box 1 FP'!H5</f>
        <v>8926</v>
      </c>
      <c r="F47" s="35"/>
      <c r="H47" s="183" t="s">
        <v>61</v>
      </c>
      <c r="I47" s="183"/>
      <c r="J47" s="183"/>
      <c r="K47" s="183"/>
      <c r="L47" s="35">
        <f>'Box 1 FP'!H11 + 'Box 1 FP'!H12</f>
        <v>8370</v>
      </c>
      <c r="M47" s="35"/>
    </row>
    <row r="48" spans="1:13">
      <c r="A48" s="183" t="s">
        <v>62</v>
      </c>
      <c r="B48" s="183"/>
      <c r="C48" s="183"/>
      <c r="D48" s="183"/>
      <c r="E48" s="35">
        <f>SUM('Box 1 FP'!E16:E19)</f>
        <v>1</v>
      </c>
      <c r="F48" s="35"/>
      <c r="H48" s="183" t="s">
        <v>62</v>
      </c>
      <c r="I48" s="183"/>
      <c r="J48" s="183"/>
      <c r="K48" s="183"/>
      <c r="L48" s="35">
        <f>SUM('Box 1 FP'!E24:E27)</f>
        <v>1</v>
      </c>
      <c r="M48" s="35"/>
    </row>
    <row r="49" spans="1:13">
      <c r="A49" s="182" t="s">
        <v>63</v>
      </c>
      <c r="B49" s="182"/>
      <c r="C49" s="182"/>
      <c r="D49" s="182"/>
      <c r="E49" s="36" t="e">
        <f>(E45)-(E46-(E47+E48))</f>
        <v>#REF!</v>
      </c>
      <c r="F49" s="36"/>
      <c r="H49" s="182" t="s">
        <v>63</v>
      </c>
      <c r="I49" s="182"/>
      <c r="J49" s="182"/>
      <c r="K49" s="182"/>
      <c r="L49" s="36" t="e">
        <f>(L45)-(L46-(L47+L48))</f>
        <v>#REF!</v>
      </c>
      <c r="M49" s="36"/>
    </row>
    <row r="50" spans="1:13">
      <c r="A50" s="129"/>
      <c r="B50" s="130"/>
      <c r="C50" s="130"/>
      <c r="D50" s="131"/>
      <c r="E50" s="36"/>
      <c r="F50" s="36"/>
      <c r="H50" s="129"/>
      <c r="I50" s="130"/>
      <c r="J50" s="130"/>
      <c r="K50" s="131"/>
      <c r="L50" s="36"/>
      <c r="M50" s="36"/>
    </row>
    <row r="51" spans="1:13">
      <c r="A51" s="190" t="s">
        <v>3</v>
      </c>
      <c r="B51" s="190"/>
      <c r="C51" s="190"/>
      <c r="D51" s="190"/>
      <c r="E51" s="36"/>
      <c r="F51" s="36"/>
      <c r="H51" s="190" t="s">
        <v>3</v>
      </c>
      <c r="I51" s="190"/>
      <c r="J51" s="190"/>
      <c r="K51" s="190"/>
      <c r="L51" s="36"/>
      <c r="M51" s="36"/>
    </row>
    <row r="52" spans="1:13">
      <c r="A52" s="187" t="s">
        <v>4</v>
      </c>
      <c r="B52" s="187"/>
      <c r="C52" s="187"/>
      <c r="D52" s="187"/>
      <c r="E52" s="36">
        <v>8700</v>
      </c>
      <c r="F52" s="36"/>
      <c r="H52" s="187" t="s">
        <v>4</v>
      </c>
      <c r="I52" s="187"/>
      <c r="J52" s="187"/>
      <c r="K52" s="187"/>
      <c r="L52" s="36">
        <v>8700</v>
      </c>
      <c r="M52" s="36"/>
    </row>
    <row r="53" spans="1:13">
      <c r="A53" s="187" t="s">
        <v>5</v>
      </c>
      <c r="B53" s="187"/>
      <c r="C53" s="187"/>
      <c r="D53" s="187"/>
      <c r="E53" s="36">
        <v>6300</v>
      </c>
      <c r="F53" s="36"/>
      <c r="H53" s="187" t="s">
        <v>5</v>
      </c>
      <c r="I53" s="187"/>
      <c r="J53" s="187"/>
      <c r="K53" s="187"/>
      <c r="L53" s="36">
        <v>6300</v>
      </c>
      <c r="M53" s="36"/>
    </row>
    <row r="54" spans="1:13">
      <c r="A54" s="187" t="s">
        <v>6</v>
      </c>
      <c r="B54" s="187"/>
      <c r="C54" s="187"/>
      <c r="D54" s="187"/>
      <c r="E54" s="36">
        <f>(1400/2) + 500</f>
        <v>1200</v>
      </c>
      <c r="F54" s="36"/>
      <c r="H54" s="187" t="s">
        <v>6</v>
      </c>
      <c r="I54" s="187"/>
      <c r="J54" s="187"/>
      <c r="K54" s="187"/>
      <c r="L54" s="36">
        <f>(1400/2) + 500</f>
        <v>1200</v>
      </c>
      <c r="M54" s="36"/>
    </row>
    <row r="55" spans="1:13">
      <c r="A55" s="187" t="s">
        <v>7</v>
      </c>
      <c r="B55" s="187"/>
      <c r="C55" s="187"/>
      <c r="D55" s="187"/>
      <c r="E55" s="36">
        <v>900</v>
      </c>
      <c r="F55" s="36"/>
      <c r="H55" s="187" t="s">
        <v>7</v>
      </c>
      <c r="I55" s="187"/>
      <c r="J55" s="187"/>
      <c r="K55" s="187"/>
      <c r="L55" s="36">
        <v>900</v>
      </c>
      <c r="M55" s="36"/>
    </row>
    <row r="56" spans="1:13">
      <c r="A56" s="187" t="s">
        <v>8</v>
      </c>
      <c r="B56" s="187"/>
      <c r="C56" s="187"/>
      <c r="D56" s="187"/>
      <c r="E56" s="36">
        <f>(2400/2) + 200</f>
        <v>1400</v>
      </c>
      <c r="F56" s="36"/>
      <c r="H56" s="187" t="s">
        <v>8</v>
      </c>
      <c r="I56" s="187"/>
      <c r="J56" s="187"/>
      <c r="K56" s="187"/>
      <c r="L56" s="36">
        <f>(2400/2) + 200</f>
        <v>1400</v>
      </c>
      <c r="M56" s="36"/>
    </row>
    <row r="57" spans="1:13">
      <c r="A57" s="187" t="s">
        <v>9</v>
      </c>
      <c r="B57" s="187"/>
      <c r="C57" s="187"/>
      <c r="D57" s="187"/>
      <c r="E57" s="36">
        <f>7500/2</f>
        <v>3750</v>
      </c>
      <c r="F57" s="36"/>
      <c r="H57" s="187" t="s">
        <v>9</v>
      </c>
      <c r="I57" s="187"/>
      <c r="J57" s="187"/>
      <c r="K57" s="187"/>
      <c r="L57" s="36">
        <f>7500/2</f>
        <v>3750</v>
      </c>
      <c r="M57" s="36"/>
    </row>
    <row r="58" spans="1:13">
      <c r="A58" s="125" t="s">
        <v>10</v>
      </c>
      <c r="B58" s="126"/>
      <c r="C58" s="126"/>
      <c r="D58" s="127"/>
      <c r="E58" s="36">
        <f>13000/2</f>
        <v>6500</v>
      </c>
      <c r="F58" s="36"/>
      <c r="H58" s="125" t="s">
        <v>10</v>
      </c>
      <c r="I58" s="126"/>
      <c r="J58" s="126"/>
      <c r="K58" s="127"/>
      <c r="L58" s="36">
        <f>13000/2</f>
        <v>6500</v>
      </c>
      <c r="M58" s="36"/>
    </row>
    <row r="59" spans="1:13">
      <c r="A59" s="187" t="s">
        <v>11</v>
      </c>
      <c r="B59" s="187"/>
      <c r="C59" s="187"/>
      <c r="D59" s="187"/>
      <c r="E59" s="36">
        <f>8000/2</f>
        <v>4000</v>
      </c>
      <c r="F59" s="36"/>
      <c r="H59" s="187" t="s">
        <v>11</v>
      </c>
      <c r="I59" s="187"/>
      <c r="J59" s="187"/>
      <c r="K59" s="187"/>
      <c r="L59" s="36">
        <f>8000/2</f>
        <v>4000</v>
      </c>
      <c r="M59" s="36"/>
    </row>
    <row r="60" spans="1:13">
      <c r="A60" s="187" t="s">
        <v>12</v>
      </c>
      <c r="B60" s="187"/>
      <c r="C60" s="187"/>
      <c r="D60" s="187"/>
      <c r="E60" s="40">
        <f>18000/2</f>
        <v>9000</v>
      </c>
      <c r="F60" s="36"/>
      <c r="H60" s="187" t="s">
        <v>12</v>
      </c>
      <c r="I60" s="187"/>
      <c r="J60" s="187"/>
      <c r="K60" s="187"/>
      <c r="L60" s="40">
        <f>18000/2</f>
        <v>9000</v>
      </c>
      <c r="M60" s="43"/>
    </row>
    <row r="61" spans="1:13">
      <c r="A61" s="188" t="s">
        <v>13</v>
      </c>
      <c r="B61" s="188"/>
      <c r="C61" s="188"/>
      <c r="D61" s="188"/>
      <c r="E61" s="37"/>
      <c r="F61" s="37">
        <v>600000</v>
      </c>
      <c r="H61" s="188" t="s">
        <v>13</v>
      </c>
      <c r="I61" s="188"/>
      <c r="J61" s="188"/>
      <c r="K61" s="188"/>
      <c r="L61" s="37"/>
      <c r="M61" s="37">
        <v>600000</v>
      </c>
    </row>
    <row r="62" spans="1:13">
      <c r="A62" s="188" t="s">
        <v>14</v>
      </c>
      <c r="B62" s="188"/>
      <c r="C62" s="188"/>
      <c r="D62" s="188"/>
      <c r="E62" s="37"/>
      <c r="F62" s="37">
        <f>IF(F61&lt;= 12500, 0, IF(F61&lt;= 25000, F61* 0.001, IF(F61&lt;= 50000, F61* 0.002, IF(F61&lt;= 75000, F61* 0.0025, IF(F61&lt;= 1310000, F61* 0.0035, 4585 + ((F61- 1310000) * 0.0235))))))</f>
        <v>2100</v>
      </c>
      <c r="H62" s="188" t="s">
        <v>14</v>
      </c>
      <c r="I62" s="188"/>
      <c r="J62" s="188"/>
      <c r="K62" s="188"/>
      <c r="L62" s="37"/>
      <c r="M62" s="37">
        <f>IF(M61&lt;= 12500, 0, IF(M61&lt;= 25000, M61* 0.001, IF(M61&lt;= 50000, M61* 0.002, IF(M61&lt;= 75000, M61* 0.0025, IF(M61&lt;= 1310000, M61* 0.0035, 4585 + ((M61- 1310000) * 0.0235))))))</f>
        <v>2100</v>
      </c>
    </row>
    <row r="63" spans="1:13">
      <c r="A63" s="187"/>
      <c r="B63" s="187"/>
      <c r="C63" s="187"/>
      <c r="D63" s="187"/>
      <c r="E63" s="36"/>
      <c r="F63" s="36"/>
      <c r="H63" s="187"/>
      <c r="I63" s="187"/>
      <c r="J63" s="187"/>
      <c r="K63" s="187"/>
      <c r="L63" s="36"/>
      <c r="M63" s="36"/>
    </row>
    <row r="64" spans="1:13">
      <c r="A64" s="178" t="s">
        <v>65</v>
      </c>
      <c r="B64" s="178"/>
      <c r="C64" s="178"/>
      <c r="D64" s="178"/>
      <c r="E64" s="36" t="e">
        <f>E49-(SUM(E52:E60))</f>
        <v>#REF!</v>
      </c>
      <c r="F64" s="36"/>
      <c r="H64" s="178" t="s">
        <v>65</v>
      </c>
      <c r="I64" s="178"/>
      <c r="J64" s="178"/>
      <c r="K64" s="178"/>
      <c r="L64" s="36" t="e">
        <f>L49-(SUM(L52:L60))</f>
        <v>#REF!</v>
      </c>
      <c r="M64" s="36"/>
    </row>
  </sheetData>
  <mergeCells count="125">
    <mergeCell ref="A2:B2"/>
    <mergeCell ref="C2:D2"/>
    <mergeCell ref="H2:I2"/>
    <mergeCell ref="J2:K2"/>
    <mergeCell ref="A3:D3"/>
    <mergeCell ref="H3:K3"/>
    <mergeCell ref="A9:D9"/>
    <mergeCell ref="H9:K9"/>
    <mergeCell ref="A10:D10"/>
    <mergeCell ref="H10:K10"/>
    <mergeCell ref="A11:D11"/>
    <mergeCell ref="H11:K11"/>
    <mergeCell ref="A6:D6"/>
    <mergeCell ref="H6:K6"/>
    <mergeCell ref="A7:D7"/>
    <mergeCell ref="H7:K7"/>
    <mergeCell ref="A8:D8"/>
    <mergeCell ref="H8:K8"/>
    <mergeCell ref="A15:D15"/>
    <mergeCell ref="H15:K15"/>
    <mergeCell ref="A16:D16"/>
    <mergeCell ref="H16:K16"/>
    <mergeCell ref="A17:D17"/>
    <mergeCell ref="H17:K17"/>
    <mergeCell ref="A12:D12"/>
    <mergeCell ref="H12:K12"/>
    <mergeCell ref="A13:D13"/>
    <mergeCell ref="H13:K13"/>
    <mergeCell ref="A14:D14"/>
    <mergeCell ref="H14:K14"/>
    <mergeCell ref="A21:D21"/>
    <mergeCell ref="H21:K21"/>
    <mergeCell ref="A22:D22"/>
    <mergeCell ref="H22:K22"/>
    <mergeCell ref="A23:D23"/>
    <mergeCell ref="H23:K23"/>
    <mergeCell ref="A18:D18"/>
    <mergeCell ref="H18:K18"/>
    <mergeCell ref="A19:D19"/>
    <mergeCell ref="H19:K19"/>
    <mergeCell ref="A20:D20"/>
    <mergeCell ref="H20:K20"/>
    <mergeCell ref="A27:D27"/>
    <mergeCell ref="H27:K27"/>
    <mergeCell ref="A28:D28"/>
    <mergeCell ref="H28:K28"/>
    <mergeCell ref="A29:D29"/>
    <mergeCell ref="H29:K29"/>
    <mergeCell ref="A24:D24"/>
    <mergeCell ref="H24:K24"/>
    <mergeCell ref="A25:D25"/>
    <mergeCell ref="H25:K25"/>
    <mergeCell ref="A26:D26"/>
    <mergeCell ref="H26:K26"/>
    <mergeCell ref="A33:D33"/>
    <mergeCell ref="H33:K33"/>
    <mergeCell ref="A34:D34"/>
    <mergeCell ref="H34:K34"/>
    <mergeCell ref="A35:D35"/>
    <mergeCell ref="H35:K35"/>
    <mergeCell ref="A30:D30"/>
    <mergeCell ref="H30:K30"/>
    <mergeCell ref="A31:D31"/>
    <mergeCell ref="H31:K31"/>
    <mergeCell ref="A32:D32"/>
    <mergeCell ref="H32:K32"/>
    <mergeCell ref="A39:D39"/>
    <mergeCell ref="H39:K39"/>
    <mergeCell ref="A40:D40"/>
    <mergeCell ref="H40:K40"/>
    <mergeCell ref="A41:D41"/>
    <mergeCell ref="H41:K41"/>
    <mergeCell ref="A36:D36"/>
    <mergeCell ref="H36:K36"/>
    <mergeCell ref="A37:D37"/>
    <mergeCell ref="H37:K37"/>
    <mergeCell ref="A38:D38"/>
    <mergeCell ref="H38:K38"/>
    <mergeCell ref="A45:D45"/>
    <mergeCell ref="H45:K45"/>
    <mergeCell ref="A46:D46"/>
    <mergeCell ref="H46:K46"/>
    <mergeCell ref="A47:D47"/>
    <mergeCell ref="H47:K47"/>
    <mergeCell ref="A42:D42"/>
    <mergeCell ref="H42:K42"/>
    <mergeCell ref="A43:D43"/>
    <mergeCell ref="H43:K43"/>
    <mergeCell ref="A44:D44"/>
    <mergeCell ref="H44:K44"/>
    <mergeCell ref="H51:K51"/>
    <mergeCell ref="A52:D52"/>
    <mergeCell ref="H52:K52"/>
    <mergeCell ref="A53:D53"/>
    <mergeCell ref="H53:K53"/>
    <mergeCell ref="A48:D48"/>
    <mergeCell ref="H48:K48"/>
    <mergeCell ref="A49:D49"/>
    <mergeCell ref="H49:K49"/>
    <mergeCell ref="A50:D50"/>
    <mergeCell ref="H50:K50"/>
    <mergeCell ref="A63:D63"/>
    <mergeCell ref="H63:K63"/>
    <mergeCell ref="A64:D64"/>
    <mergeCell ref="H64:K64"/>
    <mergeCell ref="O6:T13"/>
    <mergeCell ref="A60:D60"/>
    <mergeCell ref="H60:K60"/>
    <mergeCell ref="A61:D61"/>
    <mergeCell ref="H61:K61"/>
    <mergeCell ref="A62:D62"/>
    <mergeCell ref="H62:K62"/>
    <mergeCell ref="A57:D57"/>
    <mergeCell ref="H57:K57"/>
    <mergeCell ref="A58:D58"/>
    <mergeCell ref="H58:K58"/>
    <mergeCell ref="A59:D59"/>
    <mergeCell ref="H59:K59"/>
    <mergeCell ref="A54:D54"/>
    <mergeCell ref="H54:K54"/>
    <mergeCell ref="A55:D55"/>
    <mergeCell ref="H55:K55"/>
    <mergeCell ref="A56:D56"/>
    <mergeCell ref="H56:K56"/>
    <mergeCell ref="A51:D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7213-86B4-4860-AB2A-70D72F64DB51}">
  <dimension ref="A1:L83"/>
  <sheetViews>
    <sheetView topLeftCell="A6" workbookViewId="0">
      <selection activeCell="E31" sqref="E31"/>
    </sheetView>
  </sheetViews>
  <sheetFormatPr defaultColWidth="8.85546875" defaultRowHeight="15"/>
  <cols>
    <col min="1" max="1" width="27.140625" bestFit="1" customWidth="1"/>
    <col min="2" max="2" width="24.42578125" bestFit="1" customWidth="1"/>
    <col min="3" max="3" width="21.140625" bestFit="1" customWidth="1"/>
    <col min="4" max="4" width="11.85546875" bestFit="1" customWidth="1"/>
    <col min="5" max="5" width="14.7109375" bestFit="1" customWidth="1"/>
    <col min="7" max="7" width="43.28515625" bestFit="1" customWidth="1"/>
    <col min="8" max="8" width="13" bestFit="1" customWidth="1"/>
    <col min="9" max="9" width="10" bestFit="1" customWidth="1"/>
    <col min="10" max="10" width="53.85546875" bestFit="1" customWidth="1"/>
    <col min="11" max="11" width="15" bestFit="1" customWidth="1"/>
    <col min="13" max="13" width="64.140625" bestFit="1" customWidth="1"/>
    <col min="14" max="14" width="11.42578125" bestFit="1" customWidth="1"/>
    <col min="15" max="15" width="11.140625" bestFit="1" customWidth="1"/>
  </cols>
  <sheetData>
    <row r="1" spans="1:12">
      <c r="A1" s="45">
        <v>2024</v>
      </c>
      <c r="B1" t="s">
        <v>74</v>
      </c>
      <c r="C1" t="s">
        <v>75</v>
      </c>
      <c r="F1" t="s">
        <v>76</v>
      </c>
    </row>
    <row r="2" spans="1:12">
      <c r="A2" s="91" t="s">
        <v>77</v>
      </c>
      <c r="B2" s="91" t="s">
        <v>78</v>
      </c>
      <c r="C2" s="91" t="s">
        <v>79</v>
      </c>
      <c r="D2" s="91" t="s">
        <v>80</v>
      </c>
      <c r="F2" s="50">
        <v>2024</v>
      </c>
      <c r="G2" t="s">
        <v>74</v>
      </c>
    </row>
    <row r="3" spans="1:12">
      <c r="A3" s="46" t="s">
        <v>81</v>
      </c>
      <c r="B3" s="47">
        <v>75518</v>
      </c>
      <c r="C3" s="48">
        <v>0.36969999999999997</v>
      </c>
      <c r="D3" s="49">
        <f>ROUNDDOWN(IF(('CBI-FBI Fiscale Partners'!E34 - 'CBI-FBI Fiscale Partners'!E35)&gt;=B3,B3*C3,('CBI-FBI Fiscale Partners'!E34 - 'CBI-FBI Fiscale Partners'!E35)*C3),0)</f>
        <v>-3105</v>
      </c>
      <c r="F3" s="91" t="s">
        <v>82</v>
      </c>
      <c r="G3" s="91" t="s">
        <v>83</v>
      </c>
      <c r="H3" s="91" t="s">
        <v>76</v>
      </c>
      <c r="J3" s="51" t="s">
        <v>84</v>
      </c>
      <c r="K3" s="92" t="s">
        <v>85</v>
      </c>
      <c r="L3" s="92" t="s">
        <v>86</v>
      </c>
    </row>
    <row r="4" spans="1:12">
      <c r="A4" s="67" t="s">
        <v>87</v>
      </c>
      <c r="B4" s="68" t="s">
        <v>88</v>
      </c>
      <c r="C4" s="69">
        <v>0.495</v>
      </c>
      <c r="D4" s="70">
        <f>ROUNDDOWN(IF(('CBI-FBI Fiscale Partners'!E34 - 'CBI-FBI Fiscale Partners'!E35)&gt;B3,(('CBI-FBI Fiscale Partners'!E34 - 'CBI-FBI Fiscale Partners'!E35)-B3)*C4,0),0)</f>
        <v>0</v>
      </c>
      <c r="F4" s="46" t="s">
        <v>89</v>
      </c>
      <c r="G4" s="52">
        <v>24813</v>
      </c>
      <c r="H4" s="52">
        <f>ROUNDUP(IF(('CBI-FBI Fiscale Partners'!E34 - 'CBI-FBI Fiscale Partners'!E35)&lt;G4,K4,0),0)</f>
        <v>3362</v>
      </c>
      <c r="J4" s="53" t="s">
        <v>90</v>
      </c>
      <c r="K4" s="54">
        <v>3362</v>
      </c>
      <c r="L4" s="55"/>
    </row>
    <row r="5" spans="1:12">
      <c r="A5" s="62" t="s">
        <v>91</v>
      </c>
      <c r="B5" s="62"/>
      <c r="C5" s="62"/>
      <c r="D5" s="71">
        <f>SUM(D3:D4)</f>
        <v>-3105</v>
      </c>
      <c r="F5" s="46" t="s">
        <v>92</v>
      </c>
      <c r="G5" s="52">
        <v>75518</v>
      </c>
      <c r="H5" s="52">
        <f>ROUNDUP(IF(IF(('CBI-FBI Fiscale Partners'!E34 - 'CBI-FBI Fiscale Partners'!E35)&lt;G5,K4-L5*(('CBI-FBI Fiscale Partners'!E34 - 'CBI-FBI Fiscale Partners'!E35)-K5),0)&lt;0,0,IF(('CBI-FBI Fiscale Partners'!E34 - 'CBI-FBI Fiscale Partners'!E35)&lt;G5,K4-L5*(('CBI-FBI Fiscale Partners'!E34 - 'CBI-FBI Fiscale Partners'!E35)-K5),0)),0)</f>
        <v>5564</v>
      </c>
      <c r="J5" s="53" t="s">
        <v>93</v>
      </c>
      <c r="K5" s="54">
        <f>G4-1</f>
        <v>24812</v>
      </c>
      <c r="L5" s="56">
        <v>6.6299999999999998E-2</v>
      </c>
    </row>
    <row r="7" spans="1:12">
      <c r="A7" s="45">
        <v>2024</v>
      </c>
      <c r="B7" t="s">
        <v>94</v>
      </c>
    </row>
    <row r="8" spans="1:12">
      <c r="A8" s="91" t="s">
        <v>77</v>
      </c>
      <c r="B8" s="91" t="s">
        <v>78</v>
      </c>
      <c r="C8" s="91" t="s">
        <v>79</v>
      </c>
      <c r="D8" s="91" t="s">
        <v>80</v>
      </c>
    </row>
    <row r="9" spans="1:12">
      <c r="A9" s="46" t="s">
        <v>81</v>
      </c>
      <c r="B9" s="47">
        <v>75518</v>
      </c>
      <c r="C9" s="48">
        <v>0.36969999999999997</v>
      </c>
      <c r="D9" s="49">
        <f>ROUNDDOWN(IF(('CBI-FBI Fiscale Partners'!L34 - 'CBI-FBI Fiscale Partners'!L35)&gt;=B9,B9*C9,('CBI-FBI Fiscale Partners'!L34 - 'CBI-FBI Fiscale Partners'!L35)*C9),0)</f>
        <v>0</v>
      </c>
      <c r="F9" s="50">
        <v>2024</v>
      </c>
      <c r="G9" t="s">
        <v>94</v>
      </c>
    </row>
    <row r="10" spans="1:12">
      <c r="A10" s="67" t="s">
        <v>87</v>
      </c>
      <c r="B10" s="68" t="s">
        <v>88</v>
      </c>
      <c r="C10" s="69">
        <v>0.495</v>
      </c>
      <c r="D10" s="70">
        <f>ROUNDDOWN(IF(('CBI-FBI Fiscale Partners'!L34 - 'CBI-FBI Fiscale Partners'!L35)&gt;B9,(('CBI-FBI Fiscale Partners'!L34 - 'CBI-FBI Fiscale Partners'!L35)-B9)*C10,0),0)</f>
        <v>0</v>
      </c>
      <c r="F10" s="91" t="s">
        <v>82</v>
      </c>
      <c r="G10" s="91" t="s">
        <v>83</v>
      </c>
      <c r="H10" s="91" t="s">
        <v>76</v>
      </c>
      <c r="J10" s="51" t="s">
        <v>84</v>
      </c>
      <c r="K10" s="92" t="s">
        <v>85</v>
      </c>
      <c r="L10" s="92" t="s">
        <v>86</v>
      </c>
    </row>
    <row r="11" spans="1:12">
      <c r="A11" s="62" t="s">
        <v>91</v>
      </c>
      <c r="B11" s="62"/>
      <c r="C11" s="62"/>
      <c r="D11" s="71">
        <f>SUM(D9:D10)</f>
        <v>0</v>
      </c>
      <c r="F11" s="46" t="s">
        <v>89</v>
      </c>
      <c r="G11" s="52">
        <v>24813</v>
      </c>
      <c r="H11" s="52">
        <f>ROUNDUP(IF(('CBI-FBI Fiscale Partners'!L34 - 'CBI-FBI Fiscale Partners'!L35)&lt;G11,K11,0),0)</f>
        <v>3362</v>
      </c>
      <c r="J11" s="53" t="s">
        <v>90</v>
      </c>
      <c r="K11" s="54">
        <v>3362</v>
      </c>
      <c r="L11" s="55"/>
    </row>
    <row r="12" spans="1:12">
      <c r="F12" s="46" t="s">
        <v>92</v>
      </c>
      <c r="G12" s="52">
        <v>75518</v>
      </c>
      <c r="H12" s="52">
        <f>ROUNDUP(IF(IF(('CBI-FBI Fiscale Partners'!L34 - 'CBI-FBI Fiscale Partners'!L35)&lt;G12,K11-L12*(('CBI-FBI Fiscale Partners'!L34 - 'CBI-FBI Fiscale Partners'!L35)-K12),0)&lt;0,0,IF(('CBI-FBI Fiscale Partners'!L34 - 'CBI-FBI Fiscale Partners'!L35)&lt;G12,K11-L12*(('CBI-FBI Fiscale Partners'!L34 - 'CBI-FBI Fiscale Partners'!L35)-K12),0)),0)</f>
        <v>5008</v>
      </c>
      <c r="J12" s="53" t="s">
        <v>93</v>
      </c>
      <c r="K12" s="54">
        <f>G11-1</f>
        <v>24812</v>
      </c>
      <c r="L12" s="56">
        <v>6.6299999999999998E-2</v>
      </c>
    </row>
    <row r="14" spans="1:12">
      <c r="A14" s="50">
        <v>2024</v>
      </c>
      <c r="B14" t="s">
        <v>74</v>
      </c>
    </row>
    <row r="15" spans="1:12">
      <c r="A15" s="91" t="s">
        <v>82</v>
      </c>
      <c r="B15" s="91" t="s">
        <v>95</v>
      </c>
      <c r="C15" s="91" t="s">
        <v>86</v>
      </c>
      <c r="D15" s="91" t="s">
        <v>96</v>
      </c>
      <c r="E15" s="91" t="str">
        <f>"korting in "&amp;A14</f>
        <v>korting in 2024</v>
      </c>
      <c r="G15" s="51" t="s">
        <v>84</v>
      </c>
    </row>
    <row r="16" spans="1:12">
      <c r="A16" s="46" t="s">
        <v>89</v>
      </c>
      <c r="B16" s="52">
        <v>11491</v>
      </c>
      <c r="C16" s="57">
        <v>8.4250000000000005E-2</v>
      </c>
      <c r="D16" s="58">
        <v>0</v>
      </c>
      <c r="E16" s="49">
        <f>ROUNDUP(IF('CBI-FBI Fiscale Partners'!E34&lt;B16,C16+D16*'CBI-FBI Fiscale Partners'!E34,0),0)</f>
        <v>1</v>
      </c>
      <c r="G16" s="53" t="s">
        <v>97</v>
      </c>
    </row>
    <row r="17" spans="1:7">
      <c r="A17" s="46" t="s">
        <v>92</v>
      </c>
      <c r="B17" s="52">
        <v>24821</v>
      </c>
      <c r="C17" s="59">
        <v>0.31433</v>
      </c>
      <c r="D17" s="58">
        <v>968</v>
      </c>
      <c r="E17" s="49">
        <f>ROUNDUP(IF(AND('CBI-FBI Fiscale Partners'!E34&gt;=B16,('CBI-FBI Fiscale Partners'!E34 - 'CBI-FBI Fiscale Partners'!E35)&lt;B17),('CBI-FBI Fiscale Partners'!E34-B16)*C17+D17,0),0)</f>
        <v>0</v>
      </c>
      <c r="G17" s="60" t="s">
        <v>98</v>
      </c>
    </row>
    <row r="18" spans="1:7">
      <c r="A18" s="46" t="s">
        <v>99</v>
      </c>
      <c r="B18" s="52">
        <v>39958</v>
      </c>
      <c r="C18" s="57">
        <v>2.4709999999999999E-2</v>
      </c>
      <c r="D18" s="58">
        <v>5158</v>
      </c>
      <c r="E18" s="49">
        <f>ROUNDUP(IF(AND('CBI-FBI Fiscale Partners'!E34&gt;=B17,('CBI-FBI Fiscale Partners'!E34 - 'CBI-FBI Fiscale Partners'!E35)&lt;B18),('CBI-FBI Fiscale Partners'!E34-B17)*C18+D18,0),0)</f>
        <v>0</v>
      </c>
      <c r="G18" s="60" t="s">
        <v>100</v>
      </c>
    </row>
    <row r="19" spans="1:7">
      <c r="A19" s="46" t="s">
        <v>101</v>
      </c>
      <c r="B19" s="52">
        <v>124935</v>
      </c>
      <c r="C19" s="59">
        <v>6.5100000000000005E-2</v>
      </c>
      <c r="D19" s="58">
        <v>5532</v>
      </c>
      <c r="E19" s="49">
        <f>ROUNDUP(IF(AND('CBI-FBI Fiscale Partners'!E34&gt;=B18,('CBI-FBI Fiscale Partners'!E34 - 'CBI-FBI Fiscale Partners'!E35)&lt;B19),D19-(C19*('CBI-FBI Fiscale Partners'!E34-B18)),0),0)</f>
        <v>0</v>
      </c>
      <c r="G19" s="60" t="s">
        <v>102</v>
      </c>
    </row>
    <row r="22" spans="1:7">
      <c r="A22" s="50">
        <v>2024</v>
      </c>
      <c r="B22" t="s">
        <v>94</v>
      </c>
    </row>
    <row r="23" spans="1:7">
      <c r="A23" s="91" t="s">
        <v>82</v>
      </c>
      <c r="B23" s="91" t="s">
        <v>95</v>
      </c>
      <c r="C23" s="91" t="s">
        <v>86</v>
      </c>
      <c r="D23" s="91" t="s">
        <v>96</v>
      </c>
      <c r="E23" s="91" t="str">
        <f>"korting in "&amp;A22</f>
        <v>korting in 2024</v>
      </c>
      <c r="G23" s="51" t="s">
        <v>84</v>
      </c>
    </row>
    <row r="24" spans="1:7">
      <c r="A24" s="46" t="s">
        <v>89</v>
      </c>
      <c r="B24" s="52">
        <v>11491</v>
      </c>
      <c r="C24" s="57">
        <v>8.4250000000000005E-2</v>
      </c>
      <c r="D24" s="58">
        <v>0</v>
      </c>
      <c r="E24" s="49">
        <f>ROUNDUP(IF('CBI-FBI Fiscale Partners'!L34&lt;B24,C24+D24*'CBI-FBI Fiscale Partners'!L34,0),0)</f>
        <v>1</v>
      </c>
      <c r="G24" s="53" t="s">
        <v>97</v>
      </c>
    </row>
    <row r="25" spans="1:7">
      <c r="A25" s="46" t="s">
        <v>92</v>
      </c>
      <c r="B25" s="52">
        <v>24821</v>
      </c>
      <c r="C25" s="59">
        <v>0.31433</v>
      </c>
      <c r="D25" s="58">
        <v>968</v>
      </c>
      <c r="E25" s="49">
        <f>ROUNDUP(IF(AND('CBI-FBI Fiscale Partners'!L34&gt;=B24,('CBI-FBI Fiscale Partners'!L34 - 'CBI-FBI Fiscale Partners'!L35)&lt;B25),('CBI-FBI Fiscale Partners'!L34-B24)*C25+D25,0),0)</f>
        <v>0</v>
      </c>
      <c r="G25" s="60" t="s">
        <v>98</v>
      </c>
    </row>
    <row r="26" spans="1:7">
      <c r="A26" s="46" t="s">
        <v>99</v>
      </c>
      <c r="B26" s="52">
        <v>39958</v>
      </c>
      <c r="C26" s="57">
        <v>2.4709999999999999E-2</v>
      </c>
      <c r="D26" s="58">
        <v>5158</v>
      </c>
      <c r="E26" s="49">
        <f>ROUNDUP(IF(AND('CBI-FBI Fiscale Partners'!L34&gt;=B25,('CBI-FBI Fiscale Partners'!L34 - 'CBI-FBI Fiscale Partners'!L35)&lt;B26),('CBI-FBI Fiscale Partners'!L34-B25)*C26+D26,0),0)</f>
        <v>0</v>
      </c>
      <c r="G26" s="60" t="s">
        <v>100</v>
      </c>
    </row>
    <row r="27" spans="1:7">
      <c r="A27" s="46" t="s">
        <v>101</v>
      </c>
      <c r="B27" s="52">
        <v>124935</v>
      </c>
      <c r="C27" s="59">
        <v>6.5100000000000005E-2</v>
      </c>
      <c r="D27" s="58">
        <v>5532</v>
      </c>
      <c r="E27" s="49">
        <f>ROUNDUP(IF(AND('CBI-FBI Fiscale Partners'!L34&gt;=B26,('CBI-FBI Fiscale Partners'!L34 - 'CBI-FBI Fiscale Partners'!L35)&lt;B27),D27-(C27*('CBI-FBI Fiscale Partners'!L34-B26)),0),0)</f>
        <v>0</v>
      </c>
      <c r="G27" s="60" t="s">
        <v>102</v>
      </c>
    </row>
    <row r="29" spans="1:7">
      <c r="A29" t="s">
        <v>103</v>
      </c>
      <c r="B29" t="s">
        <v>104</v>
      </c>
    </row>
    <row r="31" spans="1:7">
      <c r="A31" s="62" t="s">
        <v>21</v>
      </c>
      <c r="B31" s="62" t="s">
        <v>22</v>
      </c>
      <c r="C31" s="62" t="s">
        <v>23</v>
      </c>
      <c r="D31" s="62" t="s">
        <v>24</v>
      </c>
      <c r="E31" s="62"/>
      <c r="F31" s="74"/>
      <c r="G31" s="62" t="s">
        <v>80</v>
      </c>
    </row>
    <row r="32" spans="1:7">
      <c r="A32" s="62">
        <f>'CBI-FBI Fiscale Partners'!A20</f>
        <v>0</v>
      </c>
      <c r="B32" s="62">
        <f>'CBI-FBI Fiscale Partners'!B20</f>
        <v>0</v>
      </c>
      <c r="C32" s="62">
        <f>'CBI-FBI Fiscale Partners'!C20</f>
        <v>0</v>
      </c>
      <c r="D32" s="62" t="str">
        <f>IF(OR(ISBLANK(A32), ISBLANK(B32), ISBLANK(C32), A32=0, B32=0, C32=0), "", DATEDIF(DATE(A32,B32,C32), DATE(2024,12,31), "Y"))</f>
        <v/>
      </c>
      <c r="E32" s="62" t="str">
        <f>IF(OR(D32="", D32=0), "Nog geen AOW", IF(D32 &gt;= 67, "Bereikt AOW", IF(D32 = 66, "AOW in 2024", "Nog geen AOW")))</f>
        <v>Nog geen AOW</v>
      </c>
      <c r="F32" s="74" t="str">
        <f>IF(E32="Bereikt AOW", IF(DATE(A32, B32, C32) &lt; DATE(1946, 1, 1), "Voor 1946", "Na 1946"), "")</f>
        <v/>
      </c>
      <c r="G32" s="72">
        <f>IF(E32="AOW in 2024", D54, IF(E32="Bereikt AOW", IF(F32="Voor 1946", D39, D46), IF(E32="Nog geen AOW", D5, 0)))</f>
        <v>-3105</v>
      </c>
    </row>
    <row r="33" spans="1:9">
      <c r="A33" t="s">
        <v>105</v>
      </c>
      <c r="B33" s="61" t="e">
        <f>DATE(A32, B32, C32)</f>
        <v>#NUM!</v>
      </c>
      <c r="H33" s="10" t="s">
        <v>22</v>
      </c>
      <c r="I33" s="10" t="s">
        <v>79</v>
      </c>
    </row>
    <row r="34" spans="1:9">
      <c r="A34" s="10" t="s">
        <v>106</v>
      </c>
      <c r="B34" s="10" t="s">
        <v>107</v>
      </c>
      <c r="C34" s="10"/>
      <c r="H34">
        <v>1</v>
      </c>
      <c r="I34" s="16">
        <v>0.19070000000000001</v>
      </c>
    </row>
    <row r="35" spans="1:9">
      <c r="A35" s="62" t="s">
        <v>77</v>
      </c>
      <c r="B35" s="62" t="s">
        <v>78</v>
      </c>
      <c r="C35" s="62" t="s">
        <v>108</v>
      </c>
      <c r="D35" s="62" t="s">
        <v>80</v>
      </c>
      <c r="H35">
        <v>2</v>
      </c>
      <c r="I35" s="16">
        <v>0.2056</v>
      </c>
    </row>
    <row r="36" spans="1:9">
      <c r="A36" s="62">
        <v>1</v>
      </c>
      <c r="B36" s="62" t="s">
        <v>109</v>
      </c>
      <c r="C36" s="63">
        <v>0.19070000000000001</v>
      </c>
      <c r="D36" s="72">
        <f>IF(('CBI-FBI Fiscale Partners'!E34 - 'CBI-FBI Fiscale Partners'!E35)&lt;= 40021, ('CBI-FBI Fiscale Partners'!E34 - 'CBI-FBI Fiscale Partners'!E35) * 0.1907, 40021 * 0.1907)</f>
        <v>-1601.88</v>
      </c>
      <c r="H36">
        <v>3</v>
      </c>
      <c r="I36" s="16">
        <v>0.2205</v>
      </c>
    </row>
    <row r="37" spans="1:9">
      <c r="A37" s="62">
        <v>2</v>
      </c>
      <c r="B37" s="64" t="s">
        <v>110</v>
      </c>
      <c r="C37" s="63">
        <v>0.36969999999999997</v>
      </c>
      <c r="D37" s="72">
        <f>IF(AND(('CBI-FBI Fiscale Partners'!E34 - 'CBI-FBI Fiscale Partners'!E35)&gt; 40021, ('CBI-FBI Fiscale Partners'!E34 - 'CBI-FBI Fiscale Partners'!E35)&lt;= 75518), (('CBI-FBI Fiscale Partners'!E34 - 'CBI-FBI Fiscale Partners'!E35)- 40021) * 0.3697, IF(('CBI-FBI Fiscale Partners'!E34 - 'CBI-FBI Fiscale Partners'!E35)&gt; 75518, (75518 - 40021) * 0.3697, 0))</f>
        <v>0</v>
      </c>
      <c r="H37">
        <v>4</v>
      </c>
      <c r="I37" s="16">
        <v>0.2354</v>
      </c>
    </row>
    <row r="38" spans="1:9">
      <c r="A38" s="65">
        <v>3</v>
      </c>
      <c r="B38" s="65" t="s">
        <v>111</v>
      </c>
      <c r="C38" s="66">
        <v>0.495</v>
      </c>
      <c r="D38" s="73">
        <f>IF(('CBI-FBI Fiscale Partners'!E34 - 'CBI-FBI Fiscale Partners'!E35)&gt; 75518, (('CBI-FBI Fiscale Partners'!E34 - 'CBI-FBI Fiscale Partners'!E35)- 75518) * 0.495, 0)</f>
        <v>0</v>
      </c>
      <c r="H38">
        <v>5</v>
      </c>
      <c r="I38" s="16">
        <v>0.25030000000000002</v>
      </c>
    </row>
    <row r="39" spans="1:9">
      <c r="A39" s="62" t="s">
        <v>91</v>
      </c>
      <c r="B39" s="62"/>
      <c r="C39" s="62"/>
      <c r="D39" s="72">
        <f>SUM(D36:D38)</f>
        <v>-1601.88</v>
      </c>
      <c r="H39">
        <v>6</v>
      </c>
      <c r="I39" s="16">
        <v>0.26519999999999999</v>
      </c>
    </row>
    <row r="40" spans="1:9">
      <c r="H40">
        <v>7</v>
      </c>
      <c r="I40" s="16">
        <v>0.2802</v>
      </c>
    </row>
    <row r="41" spans="1:9">
      <c r="A41" t="s">
        <v>112</v>
      </c>
      <c r="B41" t="s">
        <v>113</v>
      </c>
      <c r="H41">
        <v>8</v>
      </c>
      <c r="I41" s="16">
        <v>0.29509999999999997</v>
      </c>
    </row>
    <row r="42" spans="1:9">
      <c r="A42" s="62" t="s">
        <v>77</v>
      </c>
      <c r="B42" s="62" t="s">
        <v>78</v>
      </c>
      <c r="C42" s="62" t="s">
        <v>114</v>
      </c>
      <c r="D42" s="62" t="s">
        <v>80</v>
      </c>
      <c r="H42">
        <v>9</v>
      </c>
      <c r="I42" s="16">
        <v>0.31</v>
      </c>
    </row>
    <row r="43" spans="1:9">
      <c r="A43" s="62">
        <v>1</v>
      </c>
      <c r="B43" s="62" t="s">
        <v>115</v>
      </c>
      <c r="C43" s="63">
        <v>0.19070000000000001</v>
      </c>
      <c r="D43" s="72">
        <f>IF(('CBI-FBI Fiscale Partners'!E34 - 'CBI-FBI Fiscale Partners'!E35)&lt;= 38098, ('CBI-FBI Fiscale Partners'!E34 - 'CBI-FBI Fiscale Partners'!E35)* 0.1907, 38098 * 0.1907)</f>
        <v>-1601.88</v>
      </c>
      <c r="H43">
        <v>10</v>
      </c>
      <c r="I43" s="16">
        <v>0.32490000000000002</v>
      </c>
    </row>
    <row r="44" spans="1:9">
      <c r="A44" s="62">
        <v>2</v>
      </c>
      <c r="B44" s="64" t="s">
        <v>116</v>
      </c>
      <c r="C44" s="63">
        <v>0.36969999999999997</v>
      </c>
      <c r="D44" s="72">
        <f>IF(AND(('CBI-FBI Fiscale Partners'!E34 - 'CBI-FBI Fiscale Partners'!E35)&gt; 38098, ('CBI-FBI Fiscale Partners'!E34 - 'CBI-FBI Fiscale Partners'!E35)&lt;= 75518), (('CBI-FBI Fiscale Partners'!E34 - 'CBI-FBI Fiscale Partners'!E35)- 38098) * 0.3697, IF(('CBI-FBI Fiscale Partners'!E34 - 'CBI-FBI Fiscale Partners'!E35)&gt; 75518, (75518 - 38098) * 0.3697, 0))</f>
        <v>0</v>
      </c>
      <c r="H44">
        <v>11</v>
      </c>
      <c r="I44" s="16">
        <v>0.33979999999999999</v>
      </c>
    </row>
    <row r="45" spans="1:9">
      <c r="A45" s="65">
        <v>3</v>
      </c>
      <c r="B45" s="65" t="s">
        <v>111</v>
      </c>
      <c r="C45" s="66">
        <v>0.495</v>
      </c>
      <c r="D45" s="73">
        <f>IF(('CBI-FBI Fiscale Partners'!E34 - 'CBI-FBI Fiscale Partners'!E35)&gt; 75518, (('CBI-FBI Fiscale Partners'!E34 - 'CBI-FBI Fiscale Partners'!E35)- 75518) * 0.495, 0)</f>
        <v>0</v>
      </c>
      <c r="H45">
        <v>12</v>
      </c>
      <c r="I45" s="16">
        <v>0.35470000000000002</v>
      </c>
    </row>
    <row r="46" spans="1:9">
      <c r="A46" s="62" t="s">
        <v>91</v>
      </c>
      <c r="B46" s="62"/>
      <c r="C46" s="62"/>
      <c r="D46" s="72">
        <f>SUM(D43:D45)</f>
        <v>-1601.88</v>
      </c>
    </row>
    <row r="49" spans="1:7">
      <c r="A49" t="s">
        <v>117</v>
      </c>
    </row>
    <row r="50" spans="1:7">
      <c r="A50" s="62" t="s">
        <v>77</v>
      </c>
      <c r="B50" s="62" t="s">
        <v>78</v>
      </c>
      <c r="C50" s="62" t="s">
        <v>108</v>
      </c>
      <c r="D50" s="62" t="s">
        <v>80</v>
      </c>
    </row>
    <row r="51" spans="1:7">
      <c r="A51" s="62">
        <v>1</v>
      </c>
      <c r="B51" s="62" t="s">
        <v>118</v>
      </c>
      <c r="C51" s="63" t="e">
        <f>VLOOKUP(B32, H34:I45, 2, FALSE)</f>
        <v>#N/A</v>
      </c>
      <c r="D51" s="72" t="e">
        <f>IF(('CBI-FBI Fiscale Partners'!E34 - 'CBI-FBI Fiscale Partners'!E35)&lt;= 38098, ('CBI-FBI Fiscale Partners'!E34 - 'CBI-FBI Fiscale Partners'!E35)* C51, 38098 * C51)</f>
        <v>#N/A</v>
      </c>
    </row>
    <row r="52" spans="1:7">
      <c r="A52" s="62">
        <v>2</v>
      </c>
      <c r="B52" s="62" t="s">
        <v>119</v>
      </c>
      <c r="C52" s="63">
        <v>0.36969999999999997</v>
      </c>
      <c r="D52" s="72">
        <f>IF(('CBI-FBI Fiscale Partners'!E34 - 'CBI-FBI Fiscale Partners'!E35)&gt; 38098, IF(('CBI-FBI Fiscale Partners'!E34 - 'CBI-FBI Fiscale Partners'!E35)&lt;= 75518, (('CBI-FBI Fiscale Partners'!E34 - 'CBI-FBI Fiscale Partners'!E35)- 38098) * 0.3697, (75518 - 38098) * 0.3697), 0)</f>
        <v>0</v>
      </c>
    </row>
    <row r="53" spans="1:7">
      <c r="A53" s="62">
        <v>3</v>
      </c>
      <c r="B53" s="62" t="s">
        <v>120</v>
      </c>
      <c r="C53" s="63">
        <v>0.495</v>
      </c>
      <c r="D53" s="72">
        <f>IF(('CBI-FBI Fiscale Partners'!E34 - 'CBI-FBI Fiscale Partners'!E35)&gt; 75518, (('CBI-FBI Fiscale Partners'!E34 - 'CBI-FBI Fiscale Partners'!E35)- 75518) * 0.495, 0)</f>
        <v>0</v>
      </c>
    </row>
    <row r="54" spans="1:7">
      <c r="A54" s="62" t="s">
        <v>91</v>
      </c>
      <c r="B54" s="62"/>
      <c r="C54" s="62"/>
      <c r="D54" s="72" t="e">
        <f>SUM(D51:D53)</f>
        <v>#N/A</v>
      </c>
    </row>
    <row r="58" spans="1:7">
      <c r="A58" t="s">
        <v>103</v>
      </c>
      <c r="B58" t="s">
        <v>121</v>
      </c>
    </row>
    <row r="60" spans="1:7">
      <c r="A60" s="62" t="s">
        <v>21</v>
      </c>
      <c r="B60" s="62" t="s">
        <v>22</v>
      </c>
      <c r="C60" s="62" t="s">
        <v>23</v>
      </c>
      <c r="D60" s="62" t="s">
        <v>24</v>
      </c>
      <c r="E60" s="62"/>
      <c r="F60" s="74"/>
      <c r="G60" s="62" t="s">
        <v>80</v>
      </c>
    </row>
    <row r="61" spans="1:7">
      <c r="A61" s="62">
        <f>'CBI-FBI Fiscale Partners'!H20</f>
        <v>0</v>
      </c>
      <c r="B61" s="62">
        <f>'CBI-FBI Fiscale Partners'!I20</f>
        <v>0</v>
      </c>
      <c r="C61" s="62">
        <f>'CBI-FBI Fiscale Partners'!J20</f>
        <v>0</v>
      </c>
      <c r="D61" s="62" t="str">
        <f>IF(OR(ISBLANK(A61), ISBLANK(B61), ISBLANK(C61), A61=0, B61=0, C61=0), "", DATEDIF(DATE(A61,B61,C61), DATE(2024,12,31), "Y"))</f>
        <v/>
      </c>
      <c r="E61" s="62" t="str">
        <f>IF(OR(D61="", D61=0), "Nog geen AOW", IF(D61 &gt;= 67, "Bereikt AOW", IF(D61 = 66, "AOW in 2024", "Nog geen AOW")))</f>
        <v>Nog geen AOW</v>
      </c>
      <c r="F61" s="74" t="str">
        <f>IF(E61="Bereikt AOW", IF(DATE(A61, B61, C61) &lt; DATE(1946, 1, 1), "Voor 1946", "Na 1946"), "")</f>
        <v/>
      </c>
      <c r="G61" s="72">
        <f>IF(E61="AOW in 2024", D83, IF(E61="Bereikt AOW", IF(F61="Voor 1946", D68, D75), IF(E61="Nog geen AOW", D11, 0)))</f>
        <v>0</v>
      </c>
    </row>
    <row r="62" spans="1:7">
      <c r="A62" t="s">
        <v>105</v>
      </c>
      <c r="B62" s="61" t="e">
        <f>DATE(A61, B61, C61)</f>
        <v>#NUM!</v>
      </c>
    </row>
    <row r="63" spans="1:7">
      <c r="A63" s="10" t="s">
        <v>106</v>
      </c>
      <c r="B63" s="10" t="s">
        <v>107</v>
      </c>
      <c r="C63" s="10"/>
    </row>
    <row r="64" spans="1:7">
      <c r="A64" s="62" t="s">
        <v>77</v>
      </c>
      <c r="B64" s="62" t="s">
        <v>78</v>
      </c>
      <c r="C64" s="62" t="s">
        <v>108</v>
      </c>
      <c r="D64" s="62" t="s">
        <v>80</v>
      </c>
    </row>
    <row r="65" spans="1:4">
      <c r="A65" s="62">
        <v>1</v>
      </c>
      <c r="B65" s="62" t="s">
        <v>109</v>
      </c>
      <c r="C65" s="63">
        <v>0.19070000000000001</v>
      </c>
      <c r="D65" s="72">
        <f>IF(('CBI-FBI Fiscale Partners'!L34 - 'CBI-FBI Fiscale Partners'!L35)&lt;= 40021, ('CBI-FBI Fiscale Partners'!L34 - 'CBI-FBI Fiscale Partners'!L35) * 0.1907, 40021 * 0.1907)</f>
        <v>0</v>
      </c>
    </row>
    <row r="66" spans="1:4">
      <c r="A66" s="62">
        <v>2</v>
      </c>
      <c r="B66" s="64" t="s">
        <v>110</v>
      </c>
      <c r="C66" s="63">
        <v>0.36969999999999997</v>
      </c>
      <c r="D66" s="72">
        <f>IF(AND(('CBI-FBI Fiscale Partners'!L34 - 'CBI-FBI Fiscale Partners'!L35)&gt; 40021, ('CBI-FBI Fiscale Partners'!L34 - 'CBI-FBI Fiscale Partners'!L35)&lt;= 75518), (('CBI-FBI Fiscale Partners'!L34 - 'CBI-FBI Fiscale Partners'!L35)- 40021) * 0.3697, IF(('CBI-FBI Fiscale Partners'!L34 - 'CBI-FBI Fiscale Partners'!L35)&gt; 75518, (75518 - 40021) * 0.3697, 0))</f>
        <v>0</v>
      </c>
    </row>
    <row r="67" spans="1:4">
      <c r="A67" s="65">
        <v>3</v>
      </c>
      <c r="B67" s="65" t="s">
        <v>111</v>
      </c>
      <c r="C67" s="66">
        <v>0.495</v>
      </c>
      <c r="D67" s="73">
        <f>IF(('CBI-FBI Fiscale Partners'!L34 - 'CBI-FBI Fiscale Partners'!L35)&gt; 75518, (('CBI-FBI Fiscale Partners'!L34 - 'CBI-FBI Fiscale Partners'!L35)- 75518) * 0.495, 0)</f>
        <v>0</v>
      </c>
    </row>
    <row r="68" spans="1:4">
      <c r="A68" s="62" t="s">
        <v>91</v>
      </c>
      <c r="B68" s="62"/>
      <c r="C68" s="62"/>
      <c r="D68" s="72">
        <f>SUM(D65:D67)</f>
        <v>0</v>
      </c>
    </row>
    <row r="70" spans="1:4">
      <c r="A70" t="s">
        <v>112</v>
      </c>
      <c r="B70" t="s">
        <v>113</v>
      </c>
    </row>
    <row r="71" spans="1:4">
      <c r="A71" s="62" t="s">
        <v>77</v>
      </c>
      <c r="B71" s="62" t="s">
        <v>78</v>
      </c>
      <c r="C71" s="62" t="s">
        <v>114</v>
      </c>
      <c r="D71" s="62" t="s">
        <v>80</v>
      </c>
    </row>
    <row r="72" spans="1:4">
      <c r="A72" s="62">
        <v>1</v>
      </c>
      <c r="B72" s="62" t="s">
        <v>115</v>
      </c>
      <c r="C72" s="63">
        <v>0.19070000000000001</v>
      </c>
      <c r="D72" s="72">
        <f>IF(('CBI-FBI Fiscale Partners'!L34 - 'CBI-FBI Fiscale Partners'!L35)&lt;= 38098, ('CBI-FBI Fiscale Partners'!L34 - 'CBI-FBI Fiscale Partners'!L35)* 0.1907, 38098 * 0.1907)</f>
        <v>0</v>
      </c>
    </row>
    <row r="73" spans="1:4">
      <c r="A73" s="62">
        <v>2</v>
      </c>
      <c r="B73" s="64" t="s">
        <v>116</v>
      </c>
      <c r="C73" s="63">
        <v>0.36969999999999997</v>
      </c>
      <c r="D73" s="72">
        <f>IF(AND(('CBI-FBI Fiscale Partners'!L34 - 'CBI-FBI Fiscale Partners'!L35)&gt; 38098, ('CBI-FBI Fiscale Partners'!L34 - 'CBI-FBI Fiscale Partners'!L35)&lt;= 75518), (('CBI-FBI Fiscale Partners'!L34 - 'CBI-FBI Fiscale Partners'!L35)- 38098) * 0.3697, IF(('CBI-FBI Fiscale Partners'!L34 - 'CBI-FBI Fiscale Partners'!L35)&gt; 75518, (75518 - 38098) * 0.3697, 0))</f>
        <v>0</v>
      </c>
    </row>
    <row r="74" spans="1:4">
      <c r="A74" s="65">
        <v>3</v>
      </c>
      <c r="B74" s="65" t="s">
        <v>111</v>
      </c>
      <c r="C74" s="66">
        <v>0.495</v>
      </c>
      <c r="D74" s="73">
        <f>IF(('CBI-FBI Fiscale Partners'!L34 - 'CBI-FBI Fiscale Partners'!L35)&gt; 75518, (('CBI-FBI Fiscale Partners'!L34 - 'CBI-FBI Fiscale Partners'!L35)- 75518) * 0.495, 0)</f>
        <v>0</v>
      </c>
    </row>
    <row r="75" spans="1:4">
      <c r="A75" s="62" t="s">
        <v>91</v>
      </c>
      <c r="B75" s="62"/>
      <c r="C75" s="62"/>
      <c r="D75" s="72">
        <f>SUM(D72:D74)</f>
        <v>0</v>
      </c>
    </row>
    <row r="78" spans="1:4">
      <c r="A78" t="s">
        <v>117</v>
      </c>
    </row>
    <row r="79" spans="1:4">
      <c r="A79" s="62" t="s">
        <v>77</v>
      </c>
      <c r="B79" s="62" t="s">
        <v>78</v>
      </c>
      <c r="C79" s="62" t="s">
        <v>108</v>
      </c>
      <c r="D79" s="62" t="s">
        <v>80</v>
      </c>
    </row>
    <row r="80" spans="1:4">
      <c r="A80" s="62">
        <v>1</v>
      </c>
      <c r="B80" s="62" t="s">
        <v>118</v>
      </c>
      <c r="C80" s="63" t="e">
        <f>VLOOKUP(B61, H34:I45, 2, FALSE)</f>
        <v>#N/A</v>
      </c>
      <c r="D80" s="72" t="e">
        <f>IF(('CBI-FBI Fiscale Partners'!L34 - 'CBI-FBI Fiscale Partners'!L35)&lt;= 38098, ('CBI-FBI Fiscale Partners'!L34 - 'CBI-FBI Fiscale Partners'!L35)* C80, 38098 * C80)</f>
        <v>#N/A</v>
      </c>
    </row>
    <row r="81" spans="1:4">
      <c r="A81" s="62">
        <v>2</v>
      </c>
      <c r="B81" s="62" t="s">
        <v>119</v>
      </c>
      <c r="C81" s="63">
        <v>0.36969999999999997</v>
      </c>
      <c r="D81" s="72">
        <f>IF(('CBI-FBI Fiscale Partners'!L34 - 'CBI-FBI Fiscale Partners'!L35)&gt; 38098, IF(('CBI-FBI Fiscale Partners'!L34 - 'CBI-FBI Fiscale Partners'!L35)&lt;= 75518, (('CBI-FBI Fiscale Partners'!L34 - 'CBI-FBI Fiscale Partners'!L35)- 38098) * 0.3697, (75518 - 38098) * 0.3697), 0)</f>
        <v>0</v>
      </c>
    </row>
    <row r="82" spans="1:4">
      <c r="A82" s="62">
        <v>3</v>
      </c>
      <c r="B82" s="62" t="s">
        <v>120</v>
      </c>
      <c r="C82" s="63">
        <v>0.495</v>
      </c>
      <c r="D82" s="72">
        <f>IF(('CBI-FBI Fiscale Partners'!E7 - 'CBI-FBI Fiscale Partners'!E8)&gt; 75518, (('CBI-FBI Fiscale Partners'!E7 - 'CBI-FBI Fiscale Partners'!E8)- 75518) * 0.495, 0)</f>
        <v>0</v>
      </c>
    </row>
    <row r="83" spans="1:4">
      <c r="A83" s="62" t="s">
        <v>91</v>
      </c>
      <c r="B83" s="62"/>
      <c r="C83" s="62"/>
      <c r="D83" s="72" t="e">
        <f>SUM(D80:D82)</f>
        <v>#N/A</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E518-2145-4E33-A183-5FB4B5AAD186}">
  <dimension ref="A1:I45"/>
  <sheetViews>
    <sheetView topLeftCell="A3" workbookViewId="0"/>
  </sheetViews>
  <sheetFormatPr defaultColWidth="11.42578125" defaultRowHeight="15"/>
  <cols>
    <col min="1" max="1" width="18.42578125" bestFit="1" customWidth="1"/>
    <col min="2" max="2" width="21.140625" bestFit="1" customWidth="1"/>
    <col min="3" max="3" width="14.85546875" bestFit="1" customWidth="1"/>
    <col min="4" max="4" width="12.140625" bestFit="1" customWidth="1"/>
    <col min="5" max="5" width="62" bestFit="1" customWidth="1"/>
    <col min="6" max="6" width="11.28515625" bestFit="1" customWidth="1"/>
    <col min="7" max="7" width="42.7109375" bestFit="1" customWidth="1"/>
    <col min="11" max="11" width="13" bestFit="1" customWidth="1"/>
    <col min="13" max="13" width="53.85546875" bestFit="1" customWidth="1"/>
    <col min="14" max="15" width="10" bestFit="1" customWidth="1"/>
  </cols>
  <sheetData>
    <row r="1" spans="1:7">
      <c r="A1" s="45">
        <v>2024</v>
      </c>
      <c r="B1" t="s">
        <v>74</v>
      </c>
      <c r="C1" t="s">
        <v>75</v>
      </c>
    </row>
    <row r="2" spans="1:7">
      <c r="A2" s="91" t="s">
        <v>77</v>
      </c>
      <c r="B2" s="91" t="s">
        <v>78</v>
      </c>
      <c r="C2" s="91" t="s">
        <v>79</v>
      </c>
      <c r="D2" s="91" t="s">
        <v>80</v>
      </c>
    </row>
    <row r="3" spans="1:7">
      <c r="A3" s="46" t="s">
        <v>81</v>
      </c>
      <c r="B3" s="47">
        <v>75518</v>
      </c>
      <c r="C3" s="48">
        <v>0.36969999999999997</v>
      </c>
      <c r="D3" s="49">
        <f>ROUNDDOWN(IF(('CBI-FBI Alleenstaand'!E34 - 'CBI-FBI Alleenstaand'!E35)&gt;=B3,B3*C3,('CBI-FBI Alleenstaand'!E34 - 'CBI-FBI Alleenstaand'!E35)*C3),0)</f>
        <v>-3105</v>
      </c>
    </row>
    <row r="4" spans="1:7">
      <c r="A4" s="67" t="s">
        <v>87</v>
      </c>
      <c r="B4" s="68" t="s">
        <v>88</v>
      </c>
      <c r="C4" s="69">
        <v>0.495</v>
      </c>
      <c r="D4" s="70">
        <f>ROUNDDOWN(IF(('CBI-FBI Alleenstaand'!E34 - 'CBI-FBI Alleenstaand'!E35)&gt;B3,(('CBI-FBI Alleenstaand'!E34 - 'CBI-FBI Alleenstaand'!E35)-B3)*C4,0),0)</f>
        <v>0</v>
      </c>
    </row>
    <row r="5" spans="1:7">
      <c r="A5" s="62" t="s">
        <v>91</v>
      </c>
      <c r="B5" s="62"/>
      <c r="C5" s="62"/>
      <c r="D5" s="71">
        <f>SUM(D3:D4)</f>
        <v>-3105</v>
      </c>
    </row>
    <row r="7" spans="1:7">
      <c r="A7" t="s">
        <v>76</v>
      </c>
    </row>
    <row r="8" spans="1:7">
      <c r="A8" s="50">
        <v>2024</v>
      </c>
      <c r="B8" t="s">
        <v>74</v>
      </c>
    </row>
    <row r="9" spans="1:7">
      <c r="A9" s="91" t="s">
        <v>82</v>
      </c>
      <c r="B9" s="91" t="s">
        <v>83</v>
      </c>
      <c r="C9" s="91" t="s">
        <v>76</v>
      </c>
      <c r="E9" s="51" t="s">
        <v>84</v>
      </c>
      <c r="F9" s="92" t="s">
        <v>85</v>
      </c>
      <c r="G9" s="92" t="s">
        <v>86</v>
      </c>
    </row>
    <row r="10" spans="1:7">
      <c r="A10" s="46" t="s">
        <v>89</v>
      </c>
      <c r="B10" s="109">
        <v>24813</v>
      </c>
      <c r="C10" s="109">
        <f>ROUNDUP(IF(('CBI-FBI Alleenstaand'!E34 - 'CBI-FBI Alleenstaand'!E35)&lt;B10,F10,0),0)</f>
        <v>3362</v>
      </c>
      <c r="E10" s="53" t="s">
        <v>90</v>
      </c>
      <c r="F10" s="54">
        <v>3362</v>
      </c>
      <c r="G10" s="55"/>
    </row>
    <row r="11" spans="1:7">
      <c r="A11" s="46" t="s">
        <v>92</v>
      </c>
      <c r="B11" s="109">
        <v>75518</v>
      </c>
      <c r="C11" s="109">
        <f>ROUNDUP(IF(IF(('CBI-FBI Alleenstaand'!E34 - 'CBI-FBI Alleenstaand'!E35)&lt;B11,F10-G11*(('CBI-FBI Alleenstaand'!E34 - 'CBI-FBI Alleenstaand'!E35)-F11),0)&lt;0,0,IF(('CBI-FBI Alleenstaand'!E34 - 'CBI-FBI Alleenstaand'!E35)&lt;B11,F10-G11*(('CBI-FBI Alleenstaand'!E34 - 'CBI-FBI Alleenstaand'!E35)-F11),0)),0)</f>
        <v>5564</v>
      </c>
      <c r="E11" s="53" t="s">
        <v>93</v>
      </c>
      <c r="F11" s="54">
        <f>B10-1</f>
        <v>24812</v>
      </c>
      <c r="G11" s="56">
        <v>6.6299999999999998E-2</v>
      </c>
    </row>
    <row r="13" spans="1:7">
      <c r="A13" s="50">
        <v>2024</v>
      </c>
      <c r="B13" t="s">
        <v>74</v>
      </c>
    </row>
    <row r="14" spans="1:7">
      <c r="A14" s="91" t="s">
        <v>82</v>
      </c>
      <c r="B14" s="91" t="s">
        <v>95</v>
      </c>
      <c r="C14" s="91" t="s">
        <v>86</v>
      </c>
      <c r="D14" s="91" t="s">
        <v>96</v>
      </c>
      <c r="E14" s="91" t="str">
        <f>"korting in "&amp;A13</f>
        <v>korting in 2024</v>
      </c>
      <c r="G14" s="51" t="s">
        <v>84</v>
      </c>
    </row>
    <row r="15" spans="1:7">
      <c r="A15" s="46" t="s">
        <v>89</v>
      </c>
      <c r="B15" s="109">
        <v>11491</v>
      </c>
      <c r="C15" s="57">
        <v>8.4250000000000005E-2</v>
      </c>
      <c r="D15" s="58">
        <v>0</v>
      </c>
      <c r="E15" s="49">
        <f>ROUNDUP(IF('CBI-FBI Alleenstaand'!E34&lt;B15,C15+D15*'CBI-FBI Alleenstaand'!E34,0),0)</f>
        <v>1</v>
      </c>
      <c r="G15" s="53" t="s">
        <v>97</v>
      </c>
    </row>
    <row r="16" spans="1:7">
      <c r="A16" s="46" t="s">
        <v>92</v>
      </c>
      <c r="B16" s="109">
        <v>24821</v>
      </c>
      <c r="C16" s="59">
        <v>0.31433</v>
      </c>
      <c r="D16" s="58">
        <v>968</v>
      </c>
      <c r="E16" s="49">
        <f>ROUNDUP(IF(AND('CBI-FBI Alleenstaand'!E34&gt;=B15,('CBI-FBI Alleenstaand'!E34 - 'CBI-FBI Alleenstaand'!E35)&lt;B16),('CBI-FBI Alleenstaand'!E34-B15)*C16+D16,0),0)</f>
        <v>0</v>
      </c>
      <c r="G16" s="60" t="s">
        <v>98</v>
      </c>
    </row>
    <row r="17" spans="1:9">
      <c r="A17" s="46" t="s">
        <v>99</v>
      </c>
      <c r="B17" s="109">
        <v>39958</v>
      </c>
      <c r="C17" s="57">
        <v>2.4709999999999999E-2</v>
      </c>
      <c r="D17" s="58">
        <v>5158</v>
      </c>
      <c r="E17" s="49">
        <f>ROUNDUP(IF(AND('CBI-FBI Alleenstaand'!E34&gt;=B16,('CBI-FBI Alleenstaand'!E34 - 'CBI-FBI Alleenstaand'!E35)&lt;B17),('CBI-FBI Alleenstaand'!E34-B16)*C17+D17,0),0)</f>
        <v>0</v>
      </c>
      <c r="G17" s="60" t="s">
        <v>100</v>
      </c>
    </row>
    <row r="18" spans="1:9">
      <c r="A18" s="46" t="s">
        <v>101</v>
      </c>
      <c r="B18" s="109">
        <v>124935</v>
      </c>
      <c r="C18" s="59">
        <v>6.5100000000000005E-2</v>
      </c>
      <c r="D18" s="58">
        <v>5532</v>
      </c>
      <c r="E18" s="49">
        <f>ROUNDUP(IF(AND('CBI-FBI Alleenstaand'!E34&gt;=B17,('CBI-FBI Alleenstaand'!E34 - 'CBI-FBI Alleenstaand'!E35)&lt;B18),D18-(C18*('CBI-FBI Alleenstaand'!E34-B17)),0),0)</f>
        <v>0</v>
      </c>
      <c r="G18" s="60" t="s">
        <v>102</v>
      </c>
    </row>
    <row r="20" spans="1:9">
      <c r="A20" t="s">
        <v>103</v>
      </c>
      <c r="B20" t="s">
        <v>104</v>
      </c>
    </row>
    <row r="22" spans="1:9">
      <c r="A22" s="62" t="s">
        <v>21</v>
      </c>
      <c r="B22" s="62" t="s">
        <v>22</v>
      </c>
      <c r="C22" s="62" t="s">
        <v>23</v>
      </c>
      <c r="D22" s="62" t="s">
        <v>24</v>
      </c>
      <c r="E22" s="62"/>
      <c r="F22" s="74"/>
      <c r="G22" s="62" t="s">
        <v>80</v>
      </c>
    </row>
    <row r="23" spans="1:9">
      <c r="A23" s="62">
        <f>'CBI-FBI Alleenstaand'!A20</f>
        <v>1922</v>
      </c>
      <c r="B23" s="62">
        <f>'CBI-FBI Alleenstaand'!B20</f>
        <v>11</v>
      </c>
      <c r="C23" s="62">
        <f>'CBI-FBI Alleenstaand'!C20</f>
        <v>40</v>
      </c>
      <c r="D23" s="62">
        <f>IF(OR(ISBLANK(A23), ISBLANK(B23), ISBLANK(C23), A23=0, B23=0, C23=0), "", DATEDIF(DATE(A23,B23,C23), DATE(2024,12,31), "Y"))</f>
        <v>102</v>
      </c>
      <c r="E23" s="62" t="str">
        <f>IF(OR(D23="", D23=0), "Nog geen AOW", IF(D23 &gt;= 67, "Bereikt AOW", IF(D23 = 66, "AOW in 2024", "Nog geen AOW")))</f>
        <v>Bereikt AOW</v>
      </c>
      <c r="F23" s="74" t="str">
        <f>IF(E23="Bereikt AOW", IF(DATE(A23, B23, C23) &lt; DATE(1946, 1, 1), "Voor 1946", "Na 1946"), "")</f>
        <v>Voor 1946</v>
      </c>
      <c r="G23" s="72">
        <f>IF(E23="AOW in 2024", D45, IF(E23="Bereikt AOW", IF(F23="Voor 1946", D30, D37), IF(E23="Nog geen AOW", D5, 0)))</f>
        <v>-1601.88</v>
      </c>
    </row>
    <row r="24" spans="1:9">
      <c r="A24" t="s">
        <v>105</v>
      </c>
      <c r="B24" s="61">
        <f>DATE(A23, B23, C23)</f>
        <v>8380</v>
      </c>
      <c r="H24" s="10" t="s">
        <v>22</v>
      </c>
      <c r="I24" s="10" t="s">
        <v>79</v>
      </c>
    </row>
    <row r="25" spans="1:9">
      <c r="A25" s="10" t="s">
        <v>106</v>
      </c>
      <c r="B25" s="10" t="s">
        <v>107</v>
      </c>
      <c r="C25" s="10"/>
      <c r="H25">
        <v>1</v>
      </c>
      <c r="I25" s="16">
        <v>0.19070000000000001</v>
      </c>
    </row>
    <row r="26" spans="1:9">
      <c r="A26" s="62" t="s">
        <v>77</v>
      </c>
      <c r="B26" s="62" t="s">
        <v>78</v>
      </c>
      <c r="C26" s="62" t="s">
        <v>108</v>
      </c>
      <c r="D26" s="62" t="s">
        <v>80</v>
      </c>
      <c r="H26">
        <v>2</v>
      </c>
      <c r="I26" s="16">
        <v>0.2056</v>
      </c>
    </row>
    <row r="27" spans="1:9">
      <c r="A27" s="62">
        <v>1</v>
      </c>
      <c r="B27" s="62" t="s">
        <v>109</v>
      </c>
      <c r="C27" s="63">
        <v>0.19070000000000001</v>
      </c>
      <c r="D27" s="72">
        <f>IF(('CBI-FBI Alleenstaand'!E34 - 'CBI-FBI Alleenstaand'!E35)&lt;= 40021, ('CBI-FBI Alleenstaand'!E34 - 'CBI-FBI Alleenstaand'!E35) * 0.1907, 40021 * 0.1907)</f>
        <v>-1601.88</v>
      </c>
      <c r="H27">
        <v>3</v>
      </c>
      <c r="I27" s="16">
        <v>0.2205</v>
      </c>
    </row>
    <row r="28" spans="1:9">
      <c r="A28" s="62">
        <v>2</v>
      </c>
      <c r="B28" s="64" t="s">
        <v>110</v>
      </c>
      <c r="C28" s="63">
        <v>0.36969999999999997</v>
      </c>
      <c r="D28" s="72">
        <f>IF(AND(('CBI-FBI Alleenstaand'!E34 - 'CBI-FBI Alleenstaand'!E35)&gt; 40021, ('CBI-FBI Alleenstaand'!E34 - 'CBI-FBI Alleenstaand'!E35)&lt;= 75518), (('CBI-FBI Alleenstaand'!E34 - 'CBI-FBI Alleenstaand'!E35)- 40021) * 0.3697, IF(('CBI-FBI Alleenstaand'!E34 - 'CBI-FBI Alleenstaand'!E35)&gt; 75518, (75518 - 40021) * 0.3697, 0))</f>
        <v>0</v>
      </c>
      <c r="H28">
        <v>4</v>
      </c>
      <c r="I28" s="16">
        <v>0.2354</v>
      </c>
    </row>
    <row r="29" spans="1:9">
      <c r="A29" s="65">
        <v>3</v>
      </c>
      <c r="B29" s="65" t="s">
        <v>111</v>
      </c>
      <c r="C29" s="66">
        <v>0.495</v>
      </c>
      <c r="D29" s="73">
        <f>IF(('CBI-FBI Alleenstaand'!E34 - 'CBI-FBI Alleenstaand'!E35)&gt; 75518, (('CBI-FBI Alleenstaand'!E34 - 'CBI-FBI Alleenstaand'!E35)- 75518) * 0.495, 0)</f>
        <v>0</v>
      </c>
      <c r="H29">
        <v>5</v>
      </c>
      <c r="I29" s="16">
        <v>0.25030000000000002</v>
      </c>
    </row>
    <row r="30" spans="1:9">
      <c r="A30" s="62" t="s">
        <v>91</v>
      </c>
      <c r="B30" s="62"/>
      <c r="C30" s="62"/>
      <c r="D30" s="72">
        <f>SUM(D27:D29)</f>
        <v>-1601.88</v>
      </c>
      <c r="H30">
        <v>6</v>
      </c>
      <c r="I30" s="16">
        <v>0.26519999999999999</v>
      </c>
    </row>
    <row r="31" spans="1:9">
      <c r="H31">
        <v>7</v>
      </c>
      <c r="I31" s="16">
        <v>0.2802</v>
      </c>
    </row>
    <row r="32" spans="1:9">
      <c r="A32" t="s">
        <v>112</v>
      </c>
      <c r="B32" t="s">
        <v>113</v>
      </c>
      <c r="H32">
        <v>8</v>
      </c>
      <c r="I32" s="16">
        <v>0.29509999999999997</v>
      </c>
    </row>
    <row r="33" spans="1:9">
      <c r="A33" s="62" t="s">
        <v>77</v>
      </c>
      <c r="B33" s="62" t="s">
        <v>78</v>
      </c>
      <c r="C33" s="62" t="s">
        <v>114</v>
      </c>
      <c r="D33" s="62" t="s">
        <v>80</v>
      </c>
      <c r="H33">
        <v>9</v>
      </c>
      <c r="I33" s="16">
        <v>0.31</v>
      </c>
    </row>
    <row r="34" spans="1:9">
      <c r="A34" s="62">
        <v>1</v>
      </c>
      <c r="B34" s="62" t="s">
        <v>115</v>
      </c>
      <c r="C34" s="63">
        <v>0.19070000000000001</v>
      </c>
      <c r="D34" s="72">
        <f>IF(('CBI-FBI Alleenstaand'!E34 - 'CBI-FBI Alleenstaand'!E35)&lt;= 38098, ('CBI-FBI Alleenstaand'!E34 - 'CBI-FBI Alleenstaand'!E35)* 0.1907, 38098 * 0.1907)</f>
        <v>-1601.88</v>
      </c>
      <c r="H34">
        <v>10</v>
      </c>
      <c r="I34" s="16">
        <v>0.32490000000000002</v>
      </c>
    </row>
    <row r="35" spans="1:9">
      <c r="A35" s="62">
        <v>2</v>
      </c>
      <c r="B35" s="64" t="s">
        <v>116</v>
      </c>
      <c r="C35" s="63">
        <v>0.36969999999999997</v>
      </c>
      <c r="D35" s="72">
        <f>IF(AND(('CBI-FBI Alleenstaand'!E34 - 'CBI-FBI Alleenstaand'!E35)&gt; 38098, ('CBI-FBI Alleenstaand'!E34 - 'CBI-FBI Alleenstaand'!E35)&lt;= 75518), (('CBI-FBI Alleenstaand'!E34 - 'CBI-FBI Alleenstaand'!E35)- 38098) * 0.3697, IF(('CBI-FBI Alleenstaand'!E34 - 'CBI-FBI Alleenstaand'!E35)&gt; 75518, (75518 - 38098) * 0.3697, 0))</f>
        <v>0</v>
      </c>
      <c r="H35">
        <v>11</v>
      </c>
      <c r="I35" s="16">
        <v>0.33979999999999999</v>
      </c>
    </row>
    <row r="36" spans="1:9">
      <c r="A36" s="65">
        <v>3</v>
      </c>
      <c r="B36" s="65" t="s">
        <v>111</v>
      </c>
      <c r="C36" s="66">
        <v>0.495</v>
      </c>
      <c r="D36" s="73">
        <f>IF(('CBI-FBI Alleenstaand'!E34 - 'CBI-FBI Alleenstaand'!E35)&gt; 75518, (('CBI-FBI Alleenstaand'!E34 - 'CBI-FBI Alleenstaand'!E35)- 75518) * 0.495, 0)</f>
        <v>0</v>
      </c>
      <c r="H36">
        <v>12</v>
      </c>
      <c r="I36" s="16">
        <v>0.35470000000000002</v>
      </c>
    </row>
    <row r="37" spans="1:9">
      <c r="A37" s="62" t="s">
        <v>91</v>
      </c>
      <c r="B37" s="62"/>
      <c r="C37" s="62"/>
      <c r="D37" s="72">
        <f>SUM(D34:D36)</f>
        <v>-1601.88</v>
      </c>
    </row>
    <row r="40" spans="1:9">
      <c r="A40" t="s">
        <v>117</v>
      </c>
    </row>
    <row r="41" spans="1:9">
      <c r="A41" s="62" t="s">
        <v>77</v>
      </c>
      <c r="B41" s="62" t="s">
        <v>78</v>
      </c>
      <c r="C41" s="62" t="s">
        <v>108</v>
      </c>
      <c r="D41" s="62" t="s">
        <v>80</v>
      </c>
    </row>
    <row r="42" spans="1:9">
      <c r="A42" s="62">
        <v>1</v>
      </c>
      <c r="B42" s="62" t="s">
        <v>118</v>
      </c>
      <c r="C42" s="63">
        <f>VLOOKUP(B23, H25:I36, 2, FALSE)</f>
        <v>0.33979999999999999</v>
      </c>
      <c r="D42" s="72">
        <f>IF(('CBI-FBI Alleenstaand'!E34 - 'CBI-FBI Alleenstaand'!E35)&lt;= 38098, ('CBI-FBI Alleenstaand'!E34 - 'CBI-FBI Alleenstaand'!E35)* C42, 38098 * C42)</f>
        <v>-2854.3199999999997</v>
      </c>
    </row>
    <row r="43" spans="1:9">
      <c r="A43" s="62">
        <v>2</v>
      </c>
      <c r="B43" s="62" t="s">
        <v>119</v>
      </c>
      <c r="C43" s="63">
        <v>0.36969999999999997</v>
      </c>
      <c r="D43" s="72">
        <f>IF(('CBI-FBI Alleenstaand'!E34 - 'CBI-FBI Alleenstaand'!E35)&gt; 38098, IF(('CBI-FBI Alleenstaand'!E34 - 'CBI-FBI Alleenstaand'!E35)&lt;= 75518, (('CBI-FBI Alleenstaand'!E34 - 'CBI-FBI Alleenstaand'!E35)- 38098) * 0.3697, (75518 - 38098) * 0.3697), 0)</f>
        <v>0</v>
      </c>
    </row>
    <row r="44" spans="1:9">
      <c r="A44" s="62">
        <v>3</v>
      </c>
      <c r="B44" s="62" t="s">
        <v>120</v>
      </c>
      <c r="C44" s="63">
        <v>0.495</v>
      </c>
      <c r="D44" s="72">
        <f>IF(('CBI-FBI Alleenstaand'!E34 - 'CBI-FBI Alleenstaand'!E35)&gt; 75518, (('CBI-FBI Alleenstaand'!E34 - 'CBI-FBI Alleenstaand'!E35)- 75518) * 0.495, 0)</f>
        <v>0</v>
      </c>
    </row>
    <row r="45" spans="1:9">
      <c r="A45" s="62" t="s">
        <v>91</v>
      </c>
      <c r="B45" s="62"/>
      <c r="C45" s="62"/>
      <c r="D45" s="72">
        <f>SUM(D42:D44)</f>
        <v>-2854.3199999999997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66E1-DFA5-8B40-9700-BF090A629EC5}">
  <dimension ref="A1:D6"/>
  <sheetViews>
    <sheetView workbookViewId="0">
      <selection activeCell="B6" sqref="B6"/>
    </sheetView>
  </sheetViews>
  <sheetFormatPr defaultColWidth="11.42578125" defaultRowHeight="15"/>
  <cols>
    <col min="1" max="1" width="74.28515625" bestFit="1" customWidth="1"/>
    <col min="2" max="2" width="13.28515625" style="23" customWidth="1"/>
    <col min="4" max="4" width="22.42578125" customWidth="1"/>
  </cols>
  <sheetData>
    <row r="1" spans="1:4">
      <c r="A1" s="22" t="s">
        <v>41</v>
      </c>
    </row>
    <row r="2" spans="1:4">
      <c r="A2" t="s">
        <v>122</v>
      </c>
      <c r="B2" s="23">
        <v>50000</v>
      </c>
    </row>
    <row r="3" spans="1:4">
      <c r="A3" t="s">
        <v>123</v>
      </c>
      <c r="B3" s="23">
        <v>40000</v>
      </c>
    </row>
    <row r="4" spans="1:4">
      <c r="A4" t="s">
        <v>44</v>
      </c>
    </row>
    <row r="5" spans="1:4">
      <c r="A5" t="s">
        <v>124</v>
      </c>
      <c r="B5" s="23">
        <f>(B2+B3)-B4</f>
        <v>90000</v>
      </c>
      <c r="D5" s="24"/>
    </row>
    <row r="6" spans="1:4">
      <c r="A6" t="s">
        <v>125</v>
      </c>
      <c r="B6" s="23">
        <f>IF(B5&lt;=67000,B5*0.245,67000*0.245+(B5-67000)*0.33)</f>
        <v>24005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0956-713D-4125-9F33-D655DBB6EC8F}">
  <dimension ref="B2:J40"/>
  <sheetViews>
    <sheetView workbookViewId="0">
      <selection activeCell="C46" sqref="C46"/>
    </sheetView>
  </sheetViews>
  <sheetFormatPr defaultColWidth="8.85546875" defaultRowHeight="15"/>
  <cols>
    <col min="2" max="2" width="36.42578125" bestFit="1" customWidth="1"/>
    <col min="3" max="3" width="12.42578125" bestFit="1" customWidth="1"/>
    <col min="5" max="5" width="37.42578125" bestFit="1" customWidth="1"/>
    <col min="6" max="6" width="13.7109375" customWidth="1"/>
    <col min="8" max="8" width="36.42578125" bestFit="1" customWidth="1"/>
    <col min="9" max="9" width="18.42578125" bestFit="1" customWidth="1"/>
    <col min="10" max="10" width="16.85546875" bestFit="1" customWidth="1"/>
    <col min="11" max="11" width="21.42578125" customWidth="1"/>
    <col min="12" max="12" width="21.7109375" customWidth="1"/>
  </cols>
  <sheetData>
    <row r="2" spans="2:10" ht="17.25" customHeight="1">
      <c r="B2" s="13" t="s">
        <v>70</v>
      </c>
      <c r="C2" s="12"/>
      <c r="E2" s="13" t="s">
        <v>1</v>
      </c>
      <c r="F2" s="12"/>
    </row>
    <row r="3" spans="2:10" ht="17.25" customHeight="1">
      <c r="B3" s="13" t="s">
        <v>126</v>
      </c>
      <c r="C3" s="12">
        <f>'CBI-FBI Fiscale Partners'!F49+'CBI-FBI Fiscale Partners'!F51</f>
        <v>0</v>
      </c>
      <c r="E3" s="13" t="s">
        <v>126</v>
      </c>
      <c r="F3" s="12">
        <f>'CBI-FBI Alleenstaand'!F49+'CBI-FBI Alleenstaand'!F51</f>
        <v>0</v>
      </c>
      <c r="H3" s="1" t="s">
        <v>127</v>
      </c>
      <c r="I3" s="1" t="s">
        <v>128</v>
      </c>
    </row>
    <row r="4" spans="2:10" ht="16.5" customHeight="1">
      <c r="B4" s="13"/>
      <c r="C4" s="12"/>
      <c r="E4" s="13"/>
      <c r="F4" s="12"/>
      <c r="H4" s="2" t="s">
        <v>129</v>
      </c>
      <c r="I4" s="4">
        <v>1.03E-2</v>
      </c>
      <c r="J4" s="4"/>
    </row>
    <row r="5" spans="2:10" ht="16.5" customHeight="1">
      <c r="B5" s="13" t="s">
        <v>130</v>
      </c>
      <c r="C5" s="12"/>
      <c r="E5" s="13" t="s">
        <v>130</v>
      </c>
      <c r="F5" s="12"/>
      <c r="H5" s="2" t="s">
        <v>131</v>
      </c>
      <c r="I5" s="4">
        <v>2.47E-2</v>
      </c>
      <c r="J5" s="4"/>
    </row>
    <row r="6" spans="2:10" ht="18.75" customHeight="1">
      <c r="B6" s="13" t="s">
        <v>132</v>
      </c>
      <c r="C6" s="12"/>
      <c r="E6" s="13" t="s">
        <v>132</v>
      </c>
      <c r="F6" s="12"/>
      <c r="H6" s="5" t="s">
        <v>133</v>
      </c>
      <c r="I6" s="7">
        <v>6.0400000000000002E-2</v>
      </c>
      <c r="J6" s="7"/>
    </row>
    <row r="7" spans="2:10">
      <c r="B7" s="12" t="s">
        <v>134</v>
      </c>
      <c r="C7" s="12">
        <f>'CBI-FBI Fiscale Partners'!F50*'Box 3'!I4</f>
        <v>0</v>
      </c>
      <c r="E7" s="12" t="s">
        <v>134</v>
      </c>
      <c r="F7" s="12">
        <f>'CBI-FBI Alleenstaand'!F50*'Box 3'!I4</f>
        <v>0</v>
      </c>
    </row>
    <row r="8" spans="2:10">
      <c r="B8" s="12" t="s">
        <v>135</v>
      </c>
      <c r="C8" s="12">
        <f>'CBI-FBI Fiscale Partners'!F52*I6</f>
        <v>0</v>
      </c>
      <c r="E8" s="12" t="s">
        <v>135</v>
      </c>
      <c r="F8" s="12">
        <f>'CBI-FBI Alleenstaand'!F52*'Box 3'!I6</f>
        <v>0</v>
      </c>
    </row>
    <row r="9" spans="2:10">
      <c r="B9" s="18" t="s">
        <v>136</v>
      </c>
      <c r="C9" s="115">
        <f>IF('CBI-FBI Fiscale Partners'!F51&lt;=142502,
    IF('CBI-FBI Fiscale Partners'!F49&lt;=142502-'CBI-FBI Fiscale Partners'!F51, 0,
        MAX('CBI-FBI Fiscale Partners'!F49-(142502-'CBI-FBI Fiscale Partners'!F51), 0)*0.0103),
    (MAX('CBI-FBI Fiscale Partners'!F51-142502, 0)*0.0604) + (MAX('CBI-FBI Fiscale Partners'!F49, 0)*0.0103)
)</f>
        <v>0</v>
      </c>
      <c r="E9" s="18" t="s">
        <v>136</v>
      </c>
      <c r="F9" s="18">
        <f>IF('CBI-FBI Alleenstaand'!F51&lt;=71251,
    IF('CBI-FBI Alleenstaand'!F49&lt;=71251-'CBI-FBI Alleenstaand'!F51, 0,
        MAX('CBI-FBI Alleenstaand'!F49-(71251-'CBI-FBI Alleenstaand'!F51), 0)*0.0103),
    (MAX('CBI-FBI Alleenstaand'!M51-71251, 0)*0.0604) + (MAX('CBI-FBI Alleenstaand'!M49, 0)*0.0103)
)</f>
        <v>0</v>
      </c>
    </row>
    <row r="10" spans="2:10" ht="27.75" customHeight="1">
      <c r="B10" s="13" t="s">
        <v>137</v>
      </c>
      <c r="C10" s="13">
        <f>SUM(C7:C8)</f>
        <v>0</v>
      </c>
      <c r="E10" s="13" t="s">
        <v>137</v>
      </c>
      <c r="F10" s="13">
        <f>SUM(F7:F8)</f>
        <v>0</v>
      </c>
      <c r="H10" s="2" t="s">
        <v>138</v>
      </c>
      <c r="I10" s="8">
        <v>57000</v>
      </c>
      <c r="J10" s="3">
        <v>114000</v>
      </c>
    </row>
    <row r="11" spans="2:10" ht="19.5" customHeight="1">
      <c r="B11" s="12"/>
      <c r="C11" s="12"/>
      <c r="E11" s="12"/>
      <c r="F11" s="12"/>
      <c r="H11" s="2" t="s">
        <v>139</v>
      </c>
      <c r="I11" s="8">
        <v>71251</v>
      </c>
      <c r="J11" s="3">
        <v>142502</v>
      </c>
    </row>
    <row r="12" spans="2:10" ht="16.5">
      <c r="B12" s="13" t="s">
        <v>140</v>
      </c>
      <c r="C12" s="12"/>
      <c r="E12" s="13" t="s">
        <v>140</v>
      </c>
      <c r="F12" s="12"/>
      <c r="H12" s="5" t="s">
        <v>141</v>
      </c>
      <c r="I12" s="9">
        <v>3500</v>
      </c>
      <c r="J12" s="6">
        <v>7000</v>
      </c>
    </row>
    <row r="13" spans="2:10">
      <c r="B13" s="14" t="s">
        <v>142</v>
      </c>
      <c r="C13" s="12">
        <f>'CBI-FBI Fiscale Partners'!F55</f>
        <v>0</v>
      </c>
      <c r="E13" s="14" t="s">
        <v>142</v>
      </c>
      <c r="F13" s="12">
        <f>'CBI-FBI Alleenstaand'!F55</f>
        <v>0</v>
      </c>
    </row>
    <row r="14" spans="2:10" ht="32.1">
      <c r="B14" s="15" t="s">
        <v>56</v>
      </c>
      <c r="C14" s="12">
        <f>'CBI-FBI Fiscale Partners'!F56</f>
        <v>0</v>
      </c>
      <c r="E14" s="15" t="s">
        <v>56</v>
      </c>
      <c r="F14" s="12">
        <f>'CBI-FBI Alleenstaand'!F56</f>
        <v>0</v>
      </c>
    </row>
    <row r="15" spans="2:10">
      <c r="B15" s="18" t="s">
        <v>143</v>
      </c>
      <c r="C15" s="18">
        <f>J12</f>
        <v>7000</v>
      </c>
      <c r="D15" s="10"/>
      <c r="E15" s="18" t="s">
        <v>143</v>
      </c>
      <c r="F15" s="18">
        <f>I12</f>
        <v>3500</v>
      </c>
    </row>
    <row r="16" spans="2:10">
      <c r="B16" s="19" t="s">
        <v>144</v>
      </c>
      <c r="C16" s="13">
        <f>C13+C14-C15</f>
        <v>-7000</v>
      </c>
      <c r="E16" s="19" t="s">
        <v>144</v>
      </c>
      <c r="F16" s="13">
        <f>F13+F14-F15</f>
        <v>-3500</v>
      </c>
    </row>
    <row r="17" spans="2:6">
      <c r="B17" s="20"/>
      <c r="C17" s="12"/>
      <c r="E17" s="20"/>
      <c r="F17" s="12"/>
    </row>
    <row r="18" spans="2:6">
      <c r="B18" s="21" t="s">
        <v>145</v>
      </c>
      <c r="C18" s="12">
        <f>C16*'Box 3'!I5</f>
        <v>-172.9</v>
      </c>
      <c r="E18" s="21" t="s">
        <v>145</v>
      </c>
      <c r="F18" s="119">
        <f>F16*'Box 3'!I5</f>
        <v>-86.45</v>
      </c>
    </row>
    <row r="19" spans="2:6">
      <c r="B19" s="12"/>
      <c r="C19" s="12">
        <f>IF(C18&gt;0,C18,0)</f>
        <v>0</v>
      </c>
      <c r="E19" s="12"/>
      <c r="F19" s="119">
        <f>IF(F18&gt;0,F18,0)</f>
        <v>0</v>
      </c>
    </row>
    <row r="20" spans="2:6">
      <c r="B20" s="185" t="s">
        <v>146</v>
      </c>
      <c r="C20" s="12">
        <f>'CBI-FBI Fiscale Partners'!F50+'CBI-FBI Fiscale Partners'!F52+'Box 3'!C27-C16</f>
        <v>7000</v>
      </c>
      <c r="E20" s="21" t="s">
        <v>146</v>
      </c>
      <c r="F20" s="12">
        <f>'CBI-FBI Alleenstaand'!F50+'CBI-FBI Alleenstaand'!F52+'Box 3'!F27-F16</f>
        <v>3500</v>
      </c>
    </row>
    <row r="21" spans="2:6">
      <c r="B21" s="12" t="s">
        <v>147</v>
      </c>
      <c r="C21" s="17">
        <f>(C10-C18)/C20</f>
        <v>2.47E-2</v>
      </c>
      <c r="E21" s="12" t="s">
        <v>147</v>
      </c>
      <c r="F21" s="17">
        <f>(F10-F18)/F20</f>
        <v>2.47E-2</v>
      </c>
    </row>
    <row r="22" spans="2:6">
      <c r="B22" s="12"/>
      <c r="C22" s="12"/>
      <c r="E22" s="12"/>
      <c r="F22" s="12"/>
    </row>
    <row r="23" spans="2:6">
      <c r="B23" s="13" t="s">
        <v>148</v>
      </c>
      <c r="C23" s="12"/>
      <c r="E23" s="13" t="s">
        <v>148</v>
      </c>
      <c r="F23" s="12"/>
    </row>
    <row r="24" spans="2:6">
      <c r="B24" s="12" t="s">
        <v>149</v>
      </c>
      <c r="C24" s="12">
        <f>C20</f>
        <v>7000</v>
      </c>
      <c r="E24" s="12" t="s">
        <v>149</v>
      </c>
      <c r="F24" s="12">
        <f>F20</f>
        <v>3500</v>
      </c>
    </row>
    <row r="25" spans="2:6">
      <c r="B25" s="12" t="s">
        <v>138</v>
      </c>
      <c r="C25" s="12">
        <f>J10</f>
        <v>114000</v>
      </c>
      <c r="E25" s="12" t="s">
        <v>138</v>
      </c>
      <c r="F25" s="12">
        <f>I10</f>
        <v>57000</v>
      </c>
    </row>
    <row r="26" spans="2:6">
      <c r="B26" s="117" t="s">
        <v>150</v>
      </c>
      <c r="C26" s="118">
        <f>C24-C25</f>
        <v>-107000</v>
      </c>
      <c r="E26" s="117" t="s">
        <v>150</v>
      </c>
      <c r="F26" s="118">
        <f>F24-F25</f>
        <v>-53500</v>
      </c>
    </row>
    <row r="27" spans="2:6">
      <c r="B27" s="116" t="s">
        <v>151</v>
      </c>
      <c r="C27" s="116">
        <f>MAX('CBI-FBI Fiscale Partners'!F49+'CBI-FBI Fiscale Partners'!F51 - J11, 0)</f>
        <v>0</v>
      </c>
      <c r="D27" s="12"/>
      <c r="E27" s="116" t="s">
        <v>151</v>
      </c>
      <c r="F27" s="116">
        <f>MAX('CBI-FBI Alleenstaand'!F49+'CBI-FBI Alleenstaand'!F51 - I11, 0)</f>
        <v>0</v>
      </c>
    </row>
    <row r="28" spans="2:6">
      <c r="B28" s="12"/>
      <c r="C28" s="12"/>
      <c r="E28" s="12"/>
      <c r="F28" s="12"/>
    </row>
    <row r="29" spans="2:6">
      <c r="B29" s="13" t="s">
        <v>152</v>
      </c>
      <c r="C29" s="12"/>
      <c r="E29" s="13" t="s">
        <v>152</v>
      </c>
      <c r="F29" s="12"/>
    </row>
    <row r="30" spans="2:6">
      <c r="B30" s="21" t="s">
        <v>153</v>
      </c>
      <c r="C30" s="17">
        <f>C21</f>
        <v>2.47E-2</v>
      </c>
      <c r="D30" s="10"/>
      <c r="E30" s="21" t="s">
        <v>153</v>
      </c>
      <c r="F30" s="17">
        <f>F21</f>
        <v>2.47E-2</v>
      </c>
    </row>
    <row r="31" spans="2:6">
      <c r="B31" s="21" t="s">
        <v>154</v>
      </c>
      <c r="C31" s="12">
        <f>C26</f>
        <v>-107000</v>
      </c>
      <c r="D31" s="10"/>
      <c r="E31" s="21" t="s">
        <v>154</v>
      </c>
      <c r="F31" s="12">
        <f>F26</f>
        <v>-53500</v>
      </c>
    </row>
    <row r="32" spans="2:6">
      <c r="B32" s="21"/>
      <c r="C32" s="12"/>
      <c r="D32" s="10"/>
      <c r="E32" s="21"/>
      <c r="F32" s="12"/>
    </row>
    <row r="33" spans="2:6">
      <c r="B33" s="13" t="s">
        <v>155</v>
      </c>
      <c r="C33" s="12"/>
      <c r="D33" s="10"/>
      <c r="E33" s="13" t="s">
        <v>155</v>
      </c>
      <c r="F33" s="12"/>
    </row>
    <row r="34" spans="2:6">
      <c r="B34" s="21" t="s">
        <v>156</v>
      </c>
      <c r="C34" s="119">
        <f>C30*C31</f>
        <v>-2642.9</v>
      </c>
      <c r="D34" s="10"/>
      <c r="E34" s="21" t="s">
        <v>156</v>
      </c>
      <c r="F34" s="119">
        <f>F30*F31</f>
        <v>-1321.45</v>
      </c>
    </row>
    <row r="35" spans="2:6">
      <c r="B35" s="12"/>
      <c r="C35" s="119">
        <f>IF(C34&gt;0,C34,0)</f>
        <v>0</v>
      </c>
      <c r="E35" s="12"/>
      <c r="F35" s="119">
        <f>IF(F34&gt;0,F34,0)</f>
        <v>0</v>
      </c>
    </row>
    <row r="36" spans="2:6">
      <c r="B36" s="13" t="s">
        <v>157</v>
      </c>
      <c r="C36" s="12"/>
      <c r="E36" s="13" t="s">
        <v>157</v>
      </c>
      <c r="F36" s="12"/>
    </row>
    <row r="37" spans="2:6">
      <c r="B37" s="11" t="s">
        <v>158</v>
      </c>
      <c r="C37" s="12"/>
      <c r="E37" s="11" t="s">
        <v>158</v>
      </c>
      <c r="F37" s="12"/>
    </row>
    <row r="38" spans="2:6">
      <c r="B38" s="11" t="str">
        <f>B34</f>
        <v>Voordeel uit sparen en beleggen</v>
      </c>
      <c r="C38" s="119">
        <f>C35</f>
        <v>0</v>
      </c>
      <c r="E38" s="11" t="str">
        <f>E34</f>
        <v>Voordeel uit sparen en beleggen</v>
      </c>
      <c r="F38" s="119">
        <f>F35</f>
        <v>0</v>
      </c>
    </row>
    <row r="39" spans="2:6">
      <c r="B39" s="12" t="s">
        <v>159</v>
      </c>
      <c r="C39" s="17">
        <v>0.32</v>
      </c>
      <c r="E39" s="12" t="s">
        <v>159</v>
      </c>
      <c r="F39" s="17">
        <v>0.32</v>
      </c>
    </row>
    <row r="40" spans="2:6">
      <c r="B40" t="s">
        <v>158</v>
      </c>
      <c r="C40" s="120">
        <f>C38*C39</f>
        <v>0</v>
      </c>
      <c r="E40" t="s">
        <v>158</v>
      </c>
      <c r="F40" s="12">
        <f>F38*F39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2024-10-11T10:08:21Z</dcterms:created>
  <dcterms:modified xsi:type="dcterms:W3CDTF">2024-12-10T14:40:43Z</dcterms:modified>
  <cp:category/>
  <cp:contentStatus/>
</cp:coreProperties>
</file>